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drawings/drawing6.xml" ContentType="application/vnd.openxmlformats-officedocument.drawing+xml"/>
  <Override PartName="/xl/worksheets/sheet21.xml" ContentType="application/vnd.openxmlformats-officedocument.spreadsheetml.worksheet+xml"/>
  <Override PartName="/xl/drawings/drawing7.xml" ContentType="application/vnd.openxmlformats-officedocument.drawing+xml"/>
  <Override PartName="/xl/worksheets/sheet22.xml" ContentType="application/vnd.openxmlformats-officedocument.spreadsheetml.worksheet+xml"/>
  <Override PartName="/xl/drawings/drawing8.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675" windowWidth="11355" windowHeight="8580" tabRatio="903" activeTab="0"/>
  </bookViews>
  <sheets>
    <sheet name="Sheet1" sheetId="1" r:id="rId1"/>
    <sheet name="SOR RATE" sheetId="2" r:id="rId2"/>
    <sheet name="A-1" sheetId="3" r:id="rId3"/>
    <sheet name="A-2 (A)" sheetId="4" r:id="rId4"/>
    <sheet name="A-2 (B)" sheetId="5" r:id="rId5"/>
    <sheet name="A-3" sheetId="6" r:id="rId6"/>
    <sheet name="A-3 (A)" sheetId="7" r:id="rId7"/>
    <sheet name="A-3 (B)" sheetId="8" r:id="rId8"/>
    <sheet name="A-4" sheetId="9" r:id="rId9"/>
    <sheet name="A-5" sheetId="10" r:id="rId10"/>
    <sheet name="A-6" sheetId="11" r:id="rId11"/>
    <sheet name="A-6 (A)" sheetId="12" r:id="rId12"/>
    <sheet name="A-7" sheetId="13" r:id="rId13"/>
    <sheet name="A-8" sheetId="14" r:id="rId14"/>
    <sheet name="A-9" sheetId="15" r:id="rId15"/>
    <sheet name="A-10" sheetId="16" r:id="rId16"/>
    <sheet name="B-1" sheetId="17" r:id="rId17"/>
    <sheet name="B-2" sheetId="18" r:id="rId18"/>
    <sheet name="B-3" sheetId="19" r:id="rId19"/>
    <sheet name="B-4" sheetId="20" r:id="rId20"/>
    <sheet name="B-5" sheetId="21" r:id="rId21"/>
    <sheet name="B-6" sheetId="22" r:id="rId22"/>
    <sheet name="B-8" sheetId="23" r:id="rId23"/>
    <sheet name="B-9" sheetId="24" r:id="rId24"/>
  </sheets>
  <definedNames>
    <definedName name="_xlnm.Print_Titles" localSheetId="2">'A-1'!$7:$9</definedName>
    <definedName name="_xlnm.Print_Titles" localSheetId="15">'A-10'!$7:$9</definedName>
    <definedName name="_xlnm.Print_Titles" localSheetId="3">'A-2 (A)'!$5:$7</definedName>
    <definedName name="_xlnm.Print_Titles" localSheetId="4">'A-2 (B)'!$5:$7</definedName>
    <definedName name="_xlnm.Print_Titles" localSheetId="5">'A-3'!$7:$9</definedName>
    <definedName name="_xlnm.Print_Titles" localSheetId="6">'A-3 (A)'!$5:$6</definedName>
    <definedName name="_xlnm.Print_Titles" localSheetId="7">'A-3 (B)'!$5:$7</definedName>
    <definedName name="_xlnm.Print_Titles" localSheetId="8">'A-4'!$6:$8</definedName>
    <definedName name="_xlnm.Print_Titles" localSheetId="9">'A-5'!$7:$9</definedName>
    <definedName name="_xlnm.Print_Titles" localSheetId="10">'A-6'!$8:$10</definedName>
    <definedName name="_xlnm.Print_Titles" localSheetId="11">'A-6 (A)'!$7:$8</definedName>
    <definedName name="_xlnm.Print_Titles" localSheetId="12">'A-7'!$5:$7</definedName>
    <definedName name="_xlnm.Print_Titles" localSheetId="13">'A-8'!$5:$7</definedName>
    <definedName name="_xlnm.Print_Titles" localSheetId="14">'A-9'!$5:$7</definedName>
    <definedName name="_xlnm.Print_Titles" localSheetId="16">'B-1'!$6:$9</definedName>
    <definedName name="_xlnm.Print_Titles" localSheetId="18">'B-3'!$5:$7</definedName>
    <definedName name="_xlnm.Print_Titles" localSheetId="19">'B-4'!$8:$10</definedName>
    <definedName name="_xlnm.Print_Titles" localSheetId="20">'B-5'!$6:$7</definedName>
    <definedName name="_xlnm.Print_Titles" localSheetId="23">'B-9'!$6:$7</definedName>
    <definedName name="_xlnm.Print_Titles" localSheetId="0">'Sheet1'!$3:$5</definedName>
  </definedNames>
  <calcPr fullCalcOnLoad="1"/>
</workbook>
</file>

<file path=xl/comments11.xml><?xml version="1.0" encoding="utf-8"?>
<comments xmlns="http://schemas.openxmlformats.org/spreadsheetml/2006/main">
  <authors>
    <author>89326879</author>
  </authors>
  <commentList>
    <comment ref="E18" authorId="0">
      <text>
        <r>
          <rPr>
            <b/>
            <sz val="9"/>
            <rFont val="Tahoma"/>
            <family val="0"/>
          </rPr>
          <t>89326879:</t>
        </r>
        <r>
          <rPr>
            <sz val="9"/>
            <rFont val="Tahoma"/>
            <family val="0"/>
          </rPr>
          <t xml:space="preserve">
Assuming 2 kg M-seal @ Rs 450/- per kg + PVC Plate 10 mm thick</t>
        </r>
      </text>
    </comment>
  </commentList>
</comments>
</file>

<file path=xl/sharedStrings.xml><?xml version="1.0" encoding="utf-8"?>
<sst xmlns="http://schemas.openxmlformats.org/spreadsheetml/2006/main" count="4861" uniqueCount="2318">
  <si>
    <t>Part-II, 33/11 kV SUB-STATIONS</t>
  </si>
  <si>
    <t>New Sub-stations:</t>
  </si>
  <si>
    <t xml:space="preserve">1.6 MVA, 33/11 kV S/s expandable to 2 x 1.6 MVA with control room </t>
  </si>
  <si>
    <t>B-1(i)</t>
  </si>
  <si>
    <t>Cost (Rounded Off)</t>
  </si>
  <si>
    <t>(ii)</t>
  </si>
  <si>
    <t>Services on Cable trench (separate trench  for power cable &amp; control cable).</t>
  </si>
  <si>
    <t>(iii)</t>
  </si>
  <si>
    <t>Services on Painting of structures</t>
  </si>
  <si>
    <t>(iv)</t>
  </si>
  <si>
    <t xml:space="preserve">Services on Labelling of equipments </t>
  </si>
  <si>
    <t>(v)</t>
  </si>
  <si>
    <t>Services on concreting</t>
  </si>
  <si>
    <t>Labour charges as per sch. (BL-1+BL-3)</t>
  </si>
  <si>
    <t xml:space="preserve">Transport charges </t>
  </si>
  <si>
    <t>MS DC Cross arm (100x50 mm), 5.2 Mtr long for bus bar</t>
  </si>
  <si>
    <t>MS DC Cross arm (100x50 mm), 8' centre for bus bar</t>
  </si>
  <si>
    <t>Earlier Qty. was 270 kG</t>
  </si>
  <si>
    <t>Earlier Qty. was 10 kG</t>
  </si>
  <si>
    <t>Earlier CMT was 1.3</t>
  </si>
  <si>
    <t>ITEMS REMOVED  FROM Schedule- A-1 in 2016-17</t>
  </si>
  <si>
    <t>ITEMS REMOVED  FROM Schedule- A-2(A) in 2016-17</t>
  </si>
  <si>
    <t>(ii) Stay Clamp For "H" Beam</t>
  </si>
  <si>
    <t>Concreting of supports @ 0.6 Cmt. Per pole for H-Beam and @ 0.3 Cmt per stay and @ 0.05 Cmt per pole for base padding for PCC / H-Beam pole.</t>
  </si>
  <si>
    <t>Qty earlier taken 4 kg</t>
  </si>
  <si>
    <t>Earlier-- Cable marker for U/G cable</t>
  </si>
  <si>
    <t>Foundation VCB</t>
  </si>
  <si>
    <t xml:space="preserve">(i) Cement </t>
  </si>
  <si>
    <t>Control cabling</t>
  </si>
  <si>
    <t>2 Core 2.5 Sqmm. (unarmoured)</t>
  </si>
  <si>
    <t xml:space="preserve">H.T. STATIC TRIVECTOR METER for feeder metering. </t>
  </si>
  <si>
    <t>11 kV CT/PT unit 200-100/5 Amp.</t>
  </si>
  <si>
    <t xml:space="preserve">M.S. Nuts &amp; Bolts </t>
  </si>
  <si>
    <t>d</t>
  </si>
  <si>
    <t>e</t>
  </si>
  <si>
    <t>f</t>
  </si>
  <si>
    <t xml:space="preserve">Services on Concreting of structure </t>
  </si>
  <si>
    <t xml:space="preserve">Services on Concreting of VCB  </t>
  </si>
  <si>
    <t>Services on Painting of structure</t>
  </si>
  <si>
    <t>Services on Cable trench for control kiosks</t>
  </si>
  <si>
    <t>Labour charges as per Schedule No. BL-4</t>
  </si>
  <si>
    <t>365 Kg 11 Mtr long PCC Pole</t>
  </si>
  <si>
    <t xml:space="preserve">365 Kg; 11 Mtr long PCC Pole </t>
  </si>
  <si>
    <t>CONTROL CABLE COP 10CORE 2.5SQMM PVC/PVC</t>
  </si>
  <si>
    <t>CONTROL CABLE COP 12CORE 2.5SQMM PVC/PVC</t>
  </si>
  <si>
    <t>ALUMINIUM 1C 16 SQ MM UNARMOURED LT PVC</t>
  </si>
  <si>
    <t>ALUMINIUM 1C 50 SQ MM UNARMOURED LT PVC</t>
  </si>
  <si>
    <t>7H.W. 50X65MM LT SHACKLE INSULATOR CMPLT</t>
  </si>
  <si>
    <t>OIL IMM 3 PH CTPT UNITS 33 KV - 30/5A</t>
  </si>
  <si>
    <t>OIL IMM 3 PH CTPT UNITS 33 KV - 50/5 A</t>
  </si>
  <si>
    <t>OIL IMM 3 PH CTPT UNITS 33 KV-100&amp;200/5A</t>
  </si>
  <si>
    <t>Incidental Charges @ 9 % : -</t>
  </si>
  <si>
    <t xml:space="preserve">Total Cost (Rounded off ) </t>
  </si>
  <si>
    <t>19</t>
  </si>
  <si>
    <t xml:space="preserve">MS Nut &amp; Bolts </t>
  </si>
  <si>
    <t xml:space="preserve"> </t>
  </si>
  <si>
    <t>16x40 mm</t>
  </si>
  <si>
    <t xml:space="preserve">16x65 mm </t>
  </si>
  <si>
    <t xml:space="preserve">16x90 mm </t>
  </si>
  <si>
    <t xml:space="preserve">16x140 mm </t>
  </si>
  <si>
    <t xml:space="preserve">16x160 mm </t>
  </si>
  <si>
    <t xml:space="preserve">16x200 mm </t>
  </si>
  <si>
    <t xml:space="preserve">16x250 mm </t>
  </si>
  <si>
    <t xml:space="preserve">MS Angle 65x65x6 for Tie </t>
  </si>
  <si>
    <t>LS</t>
  </si>
  <si>
    <t>(vi) Stay Set 20 mm Complete</t>
  </si>
  <si>
    <t>Km</t>
  </si>
  <si>
    <t>Cost per Km for Non- guaranteed Works</t>
  </si>
  <si>
    <t xml:space="preserve">Strain Plate </t>
  </si>
  <si>
    <t>Cost per DP for Non- guaranteed Works</t>
  </si>
  <si>
    <t>"H" Beam 152x152mm 37.1 Kg/Mtr 13.0 Mtr</t>
  </si>
  <si>
    <t>i</t>
  </si>
  <si>
    <t>600 mm</t>
  </si>
  <si>
    <t>900 mm</t>
  </si>
  <si>
    <t>GI bend 200 mm</t>
  </si>
  <si>
    <t>Sundries</t>
  </si>
  <si>
    <t>Transportation Charges</t>
  </si>
  <si>
    <t>Cost per 50 Mtr for non guaranteed works</t>
  </si>
  <si>
    <t>S No</t>
  </si>
  <si>
    <t>PARTICULARS</t>
  </si>
  <si>
    <t>Unit</t>
  </si>
  <si>
    <t>280 Kg; 9.1 Mtr long PCC Pole</t>
  </si>
  <si>
    <t>Qnty</t>
  </si>
  <si>
    <t>No</t>
  </si>
  <si>
    <t>Earthing Set (Coil earth as per Drg. No. g/007)</t>
  </si>
  <si>
    <t>DOG ACSR Conductor (100 Sqmm, Al. Eq) with 3% sag</t>
  </si>
  <si>
    <t>Qty</t>
  </si>
  <si>
    <t xml:space="preserve">Kg </t>
  </si>
  <si>
    <t xml:space="preserve">New SAP Bin Code </t>
  </si>
  <si>
    <t>Labour charges as per Schedule No.- AL-3</t>
  </si>
  <si>
    <t>(iv) M.S Nut &amp; Bolt 16x250 mm.</t>
  </si>
  <si>
    <t>Service in lieu of concreting metal &amp; sand only</t>
  </si>
  <si>
    <t>Combination Plier</t>
  </si>
  <si>
    <t>33 kV  FOUR  POLE  STRUCTURE  ON  PCC / H-BEAM POLE</t>
  </si>
  <si>
    <t xml:space="preserve">H-Beams 152 X 152 mm., 37.1 Kg/Mtr 13 Mtr. Long (482.3 Kg x 4 No = 1929.2 Kgs) </t>
  </si>
  <si>
    <t>H-Beams 37.1 Kg/Mtr., 13 Mtr. Long</t>
  </si>
  <si>
    <t>SAFETY HELMETS</t>
  </si>
  <si>
    <t>30 Volts 100 AH lead acid battery</t>
  </si>
  <si>
    <t>11 kV Polymeric Pin insulator with Pin</t>
  </si>
  <si>
    <t>LT 3 phase 4 Wire Aerial Bunched Cable of Size 3X25+1x25</t>
  </si>
  <si>
    <t>Distribution box 1 ph. 9 connectors along with 2 Nos. Steel Strap &amp; Buckles.</t>
  </si>
  <si>
    <t>3x400 sq.mm AB XLPE Cable</t>
  </si>
  <si>
    <t>33 kV XLPE 400 sqmm 3 core UG Cable</t>
  </si>
  <si>
    <t>End terminating jointing kit for 400 sqmm XLPE cable</t>
  </si>
  <si>
    <t>Labour charges as per Schedule No.- AL-3 (B) (Revised for one Pole)</t>
  </si>
  <si>
    <t xml:space="preserve">Suspension clamp assembly (consisting of GI Pole Clamp, GI Flat type I-hook &amp; Nylon Cable tie). </t>
  </si>
  <si>
    <t>11KV D.O.FUSE ELEMENT (1.5 AMP TO 10 AMP</t>
  </si>
  <si>
    <t>HRC FUSE 250 AMPS</t>
  </si>
  <si>
    <t>HRC FUSE 400 AMPS</t>
  </si>
  <si>
    <t>FUSE ELEMENT 25 AMPS FOR 33 KV DO</t>
  </si>
  <si>
    <t>FUSE ELEMENT 50 AMPS FOR 33 KV DO</t>
  </si>
  <si>
    <t>H.R.C. FUSE UNITS: -100 Amps.</t>
  </si>
  <si>
    <t>TRANSFORMER 11/.4KV 10 KVA 1 PHASE</t>
  </si>
  <si>
    <t>TRANSFORMER 11/.4KV 16 KVA 3 PHASE COPPE</t>
  </si>
  <si>
    <t>Single Ph transfor with protection 16KVA</t>
  </si>
  <si>
    <t>TRANSFORMER 11/.4KV 25 KVA 3 STAR RATING</t>
  </si>
  <si>
    <t>TRANSFORMER 11/.4 KV 25 KVA</t>
  </si>
  <si>
    <t>TRANSFORMER 11/.4KV 63 KVA 3 STAR RATING</t>
  </si>
  <si>
    <t>TRANSFORMER 11/.4KV 100 KVA 3 STAR RATIN</t>
  </si>
  <si>
    <t>TRANSFORMER 11/.4KV 200 KVA 3 STAR RATIN</t>
  </si>
  <si>
    <t>TRANSFORMER 11/0.4 KV 200 KVA</t>
  </si>
  <si>
    <t>TRANSFORMER 11/0.4 KV 315 KVA</t>
  </si>
  <si>
    <t>TRANSFORMER 11/0.4 KV 500 KVA</t>
  </si>
  <si>
    <t>TRANSFORMER 33/.4KV 50KVA</t>
  </si>
  <si>
    <t>TRANSFORMER 33/0.4 KV 200 KVA</t>
  </si>
  <si>
    <t>TRANSFORMER 33/0.4 KV 300 KVA</t>
  </si>
  <si>
    <t>TRANSFORMER 33/11KV 1.6 MVA POWER</t>
  </si>
  <si>
    <t>Labour charges as per Schedule No.- AL-1</t>
  </si>
  <si>
    <t xml:space="preserve">Transport charges upto 50 Kms average lead form area stores to construction camp including site Transport (Trans. Schedule T-1) </t>
  </si>
  <si>
    <t>Note:</t>
  </si>
  <si>
    <t>All the rates are with considering price variation clause.</t>
  </si>
  <si>
    <t>MS Nuts and bolts 16x200 mm</t>
  </si>
  <si>
    <t>MS Nuts and bolts 16x250 mm</t>
  </si>
  <si>
    <t>SUB TOTAL-A (1+2+3)</t>
  </si>
  <si>
    <t>(i) Services on Earthing</t>
  </si>
  <si>
    <t>(ii) Services on Painting</t>
  </si>
  <si>
    <t>Services on Concreting of structure @ 0.45 cmt/bus structure</t>
  </si>
  <si>
    <t>Services on  X'mer foundation [2.5(L)*2(W)*3(H)]</t>
  </si>
  <si>
    <t>Services on  foundation of 11 kV VCB [2(L)*2(W)*1.5(H)]</t>
  </si>
  <si>
    <t>Services on foundation of 33 kV VCB [2(L)*2(W)*1.75(H)]</t>
  </si>
  <si>
    <t xml:space="preserve">Services on Cable trench for addl. two VCB &amp; X-mer </t>
  </si>
  <si>
    <t>220 KV CT 300-150/1</t>
  </si>
  <si>
    <t>220 KV CT 600-300/1</t>
  </si>
  <si>
    <t>33KV OIL IMMERSED 3 PHASE 300-150/5A CT-</t>
  </si>
  <si>
    <t>11 KV C.T's (OUT DOOR TYPE)200-100/5 A</t>
  </si>
  <si>
    <t>11 KV C.T's (OUT DOOR TYPE)300-150/5 A</t>
  </si>
  <si>
    <t>33KV CT's(300-150/5)A oil filled OD Type</t>
  </si>
  <si>
    <t>33KV CT's(200-100/5)A oil filled OD Type</t>
  </si>
  <si>
    <t>(a) 33 kV side with 3 disc insulator per phase.</t>
  </si>
  <si>
    <t>(ii) 33 kV Strain Hardware</t>
  </si>
  <si>
    <t>(b) 11 kV side with 2 disc insulator  per phase.</t>
  </si>
  <si>
    <t>(ii) Strain plate 8 mm thick</t>
  </si>
  <si>
    <t>(xi)</t>
  </si>
  <si>
    <t>OTHER MISCELLANEOUS ITEMS</t>
  </si>
  <si>
    <t>Cement for Concreting of structure @ 0.45 Cmt. per bus structure (1:3:6) = 7.2 Cmt for 16 Nos structure.</t>
  </si>
  <si>
    <t>Strain set with hardware suitable for 100 Sqmm ACSR conductor for 11kV bus.</t>
  </si>
  <si>
    <t>Hardware suitable for 100 Sqmm ACSR Dog conductor for 11 kV bus.</t>
  </si>
  <si>
    <t>for installation of 4 Nos AB switches // Earlier Qty was 8 Set</t>
  </si>
  <si>
    <t>Qty earlier taken 72 [3 No. per phase which should be 1 No per phase].</t>
  </si>
  <si>
    <t>Qty earlier taken less (30 Nos.)</t>
  </si>
  <si>
    <t>As per actual requirement /// Qty earlier taken 3 Each</t>
  </si>
  <si>
    <t>Service @ 0.6 cmt per pole &amp; 0.05 cmt for base padding.// Qty earlier taken 457.6 kg [2.2x208]</t>
  </si>
  <si>
    <t>Qty earlier taken less (01 No.)</t>
  </si>
  <si>
    <t>Qty earlier taken more (48 No.) per phase 1 No is required.</t>
  </si>
  <si>
    <t>MS DC Cross arm (100 x 50 x 6 mm Channel) 2.7 Mtr long Set</t>
  </si>
  <si>
    <t>ACSR conductor 100 Sqmm Al Eq. (Dog)</t>
  </si>
  <si>
    <t>33 kV Strain Hardware fitting</t>
  </si>
  <si>
    <t>33 kV Strain Plate 8 mm thick</t>
  </si>
  <si>
    <t>Sub-total - 3</t>
  </si>
  <si>
    <t>OTHER MISCELLANEOUS ITEMS: -</t>
  </si>
  <si>
    <t>Concreting of structures &amp; foundation (1:3:6)</t>
  </si>
  <si>
    <t>(i) Cement</t>
  </si>
  <si>
    <t>70 Sqmm, 3.5 Core PVC cable</t>
  </si>
  <si>
    <t>16 Sqmm 4-core Cable for Switch yard lighting, tripping arrangement &amp; system control (armoured)</t>
  </si>
  <si>
    <t>Mercury vapour lamp for Gate lighting 2 Nos.</t>
  </si>
  <si>
    <t>Earthing of Sub-station including Distribution Transformer earthing.</t>
  </si>
  <si>
    <t>FUSE WIRE TINNED COPPER 10 SWG</t>
  </si>
  <si>
    <t>PORCELAIN KIT-KATS FUSE UNITS 32 Amps.</t>
  </si>
  <si>
    <t>PORCELAIN KIT-KATS FUSE UNITS 63 Amps.</t>
  </si>
  <si>
    <t>LT line conversion using Rabbit conductor maximum span of 45 mtrs</t>
  </si>
  <si>
    <t>1 phase 2 wire to 1 phase 3 wire conversion</t>
  </si>
  <si>
    <t>D-11(I)</t>
  </si>
  <si>
    <t>1 phase 2 wire to 3 phase 4 wire conversion</t>
  </si>
  <si>
    <t>D-11(II)</t>
  </si>
  <si>
    <t>1 phase 3 wire to 3 phase 4 wire conversion</t>
  </si>
  <si>
    <t>D-11(III)</t>
  </si>
  <si>
    <t>1 phase 3 wire to 3 phase 5 wire conversion</t>
  </si>
  <si>
    <t>D-11(IV)</t>
  </si>
  <si>
    <t>Conversion of 1 Km 1 Phase 3 wire LT line into 11 kV line</t>
  </si>
  <si>
    <t>D-12</t>
  </si>
  <si>
    <t>(S)</t>
  </si>
  <si>
    <t>Concreting of supports @ 0.6 Cmt. Per pole for H-Beam ; @ 0.5 Cmt. Per pole for 365 kG PCC; and @ 0.3 Cmt per stay and @ 0.05 Cmt per pole for base padding for PCC / H-Beam pole.</t>
  </si>
  <si>
    <t>Earlier it was 8 CMT for 365 kG PCC</t>
  </si>
  <si>
    <t>Earlier CMT was 1.9 / 3.1 / 3.1</t>
  </si>
  <si>
    <t>Earlier CMT was 2 / 8 / 8</t>
  </si>
  <si>
    <t>With 11 kV  3 phase Aerial Bunched Cable 3x70+70 sqmm</t>
  </si>
  <si>
    <t>C-3 (B)[i]</t>
  </si>
  <si>
    <t>C-3 (B)[ii]</t>
  </si>
  <si>
    <t>Using 200 Kg; 9.0 Mtr long PCC Pole</t>
  </si>
  <si>
    <t>C-3 (B)[iii]</t>
  </si>
  <si>
    <t>C-3 (B)[iv]</t>
  </si>
  <si>
    <t>25 kVA on 140 Kg, 8.0 Mtr long PCC pole</t>
  </si>
  <si>
    <t>63 kVA on 140 Kg, 8.0 Mtr long PCC pole</t>
  </si>
  <si>
    <t xml:space="preserve">Electrically insulated 11 kV mats infront of electrical control panel </t>
  </si>
  <si>
    <t>Distribution box 3 phase 5 connectors along with 2 Nos. Steel Strap &amp; Buckles.</t>
  </si>
  <si>
    <t>Yard levelling &amp; Moorum filling 40x30 x 0.30 m area</t>
  </si>
  <si>
    <t>G.I. pipe 200 mm for 400 sqmm cable of dia 105 mm</t>
  </si>
  <si>
    <t xml:space="preserve">(vi) I--Bolt Big Size </t>
  </si>
  <si>
    <t>LT 1 phase 3 Wire Aerial Bunched Cable of Size 1X35+1X16+1x25</t>
  </si>
  <si>
    <t>INSULATING PIERCING CONNECTOR FOR ABC TO</t>
  </si>
  <si>
    <t>UDC- UNIVERSAL DISTRIBUTION CONNECTOR</t>
  </si>
  <si>
    <t>STRAIGHT THROUGH JOINT</t>
  </si>
  <si>
    <t>END CLAMP CAP FOR 50/70 SQMM</t>
  </si>
  <si>
    <t>M S ANGLE 50X50X5 MM</t>
  </si>
  <si>
    <t>M S ANGLE 65X65X6 MM</t>
  </si>
  <si>
    <t>M S ANGLE 75X75X6 MM</t>
  </si>
  <si>
    <t xml:space="preserve">(i) 25 mm dia 2500 mm long GI rod earth electrodes </t>
  </si>
  <si>
    <t>(ii) GI earthing pipe of 40 mm dia. &amp; 2.4 mm thick 3.04 mtr long with 12 mm hole at 18 places at equal distance trapered casing at lower end .</t>
  </si>
  <si>
    <t>(iii) MS flat 50x6 mm size  (2.5 kg per meter)</t>
  </si>
  <si>
    <t xml:space="preserve">(iv) GI wire 8 SWG </t>
  </si>
  <si>
    <t>(v) GI Nuts and bolts 16x40 mm</t>
  </si>
  <si>
    <t>2 for LA, 1 for DP, 2 for cable each set</t>
  </si>
  <si>
    <t>200 kVA on  H-Beam 152x152 mm, 37.1 Kg/Mtr, 11 mtr long</t>
  </si>
  <si>
    <t>C-7(B-1)(IV)</t>
  </si>
  <si>
    <t>(B-1) A</t>
  </si>
  <si>
    <t>Name changed, Earlier-DC Cross- arm of 100 x 50 x 6 mm. ISMC channel suitable for 5' centre DP</t>
  </si>
  <si>
    <t>Earlier Cmt was 4.6/5/5</t>
  </si>
  <si>
    <t>ITEMS REMOVED  FROM Schedule- A-2(B) in 2016-17</t>
  </si>
  <si>
    <t xml:space="preserve">(iii) M.S.Angle 65X65x6 mm </t>
  </si>
  <si>
    <t xml:space="preserve">(iii) 365 Kg; 11 Mtr long PCC Pole </t>
  </si>
  <si>
    <t>(iv) Stay Wire 7/8 SWG @ 8.5 kg Per Pole</t>
  </si>
  <si>
    <t>Qty earlier was 2 kG</t>
  </si>
  <si>
    <t>Concreting @ 0.6 Cmt per pole for H-Beam supports and 0.5 Cmt per pole for 365 kG 11 Mtr. Long PCC @ 0.3 Cmt per stay and @ 0.05 Cmt per pole for base padding for PCC / H-Beam.</t>
  </si>
  <si>
    <t>ITEMS REMOVED  FROM Schedule- A-3 in 2016-17</t>
  </si>
  <si>
    <t>Labour charges as per Schedule No BL-6</t>
  </si>
  <si>
    <t xml:space="preserve">Transportation charges </t>
  </si>
  <si>
    <t>Grand Total</t>
  </si>
  <si>
    <t>Grand Total (Rounded off): -</t>
  </si>
  <si>
    <t>COST  SCHEDULE   B-8</t>
  </si>
  <si>
    <t>A-5 (i)</t>
  </si>
  <si>
    <t xml:space="preserve">Service in lieu of Earthing Coal &amp; Sand etc </t>
  </si>
  <si>
    <t>33 kV "V" Cross arm 75x75x6 mm</t>
  </si>
  <si>
    <t>Note:-</t>
  </si>
  <si>
    <t>37.1 Kg/Mtr 13.0 Mtr long H-Beam</t>
  </si>
  <si>
    <t>2016-17</t>
  </si>
  <si>
    <t>Replaced -Steel tubular poles 12 Meter long (H-Beam replaces Steel Tubular Poles in 2015-16.)</t>
  </si>
  <si>
    <t>G.I.EARTHING PIPE/ROD SIZE 2500x25 mm</t>
  </si>
  <si>
    <t>ANCHOR CLAMP/ DEAD END CLAMP</t>
  </si>
  <si>
    <t>SUSPENSION CLAMP</t>
  </si>
  <si>
    <t>PCC POLE 140 KG; 8,0 MTR LONG</t>
  </si>
  <si>
    <t>PCC POLE 280 KG; 9,1 MTR LONG</t>
  </si>
  <si>
    <t>POLE-STEEL TUBULAR 100X125X150MM 10.9 MT</t>
  </si>
  <si>
    <t>PCC POLE 350 KG; 7,0 MTR LONG</t>
  </si>
  <si>
    <t>Through Bolt 12 mm</t>
  </si>
  <si>
    <t>D.C. Cross arm 3.8 Mtr 100 x 50 mm.</t>
  </si>
  <si>
    <t>Stay clamp LT/Pair</t>
  </si>
  <si>
    <t>LT U CLAMP</t>
  </si>
  <si>
    <t>POLE CLAMP</t>
  </si>
  <si>
    <t>Service ring made of 16 mm</t>
  </si>
  <si>
    <t>HT STAY CLAMP PCC POLE 280 KG A TYPE</t>
  </si>
  <si>
    <t>HT STAY CLAMP RAIL POLE A TYPE</t>
  </si>
  <si>
    <t>HT STAY CLAMP R S JOIST A TYPE</t>
  </si>
  <si>
    <t>HT STAY CLAMP RAIL POLE B TYPE</t>
  </si>
  <si>
    <t>33 KV TOP CLAMP SEMIFINISHED</t>
  </si>
  <si>
    <t>LT THREE PIN CROSS ARM</t>
  </si>
  <si>
    <t>713081LT 4-Pin cross arms 50 x 50 x 6 mm</t>
  </si>
  <si>
    <t>LT FIVE PIN CROSS ARM</t>
  </si>
  <si>
    <t>11 KV V CROSS ARM</t>
  </si>
  <si>
    <t>D.O. / LA Mounting channel 75x40 mm.</t>
  </si>
  <si>
    <t>1.1 MTR DPDC CROSS ARM</t>
  </si>
  <si>
    <t>11KV 4 FEET CENTRE DC CROSS ARM</t>
  </si>
  <si>
    <t>11KV 3 PHASE AERIAL BUNCHED XLPE CABLE 3</t>
  </si>
  <si>
    <t>11KV AB XLPE CABLE STRAIGHT THRU JOINT K</t>
  </si>
  <si>
    <t>LT 1PH 3 WIRE AERIAL BUNCHED CABLE OF SI</t>
  </si>
  <si>
    <t>Jointing kit 11KV ABC Cabl 3x25+1x35sqmm</t>
  </si>
  <si>
    <t>M S CHANNEL 75X40 MM CP</t>
  </si>
  <si>
    <t>M.S.FLATE 50X6 MM CP</t>
  </si>
  <si>
    <t>Transport Charges up to 50 km. average lead from area Stores to Construction Camp including Side Transport (Transport Schedule T-1)</t>
  </si>
  <si>
    <t>"H" Beam 152x152 mm 37.1 Kg/Mtr 13.0 Mtr</t>
  </si>
  <si>
    <t>ADDED IN LIST ON 09.04.2016 FOR SoR OF 2016-17</t>
  </si>
  <si>
    <t>16 sq.mm Single Core PVC Sheathed Unarmoured Cables</t>
  </si>
  <si>
    <t>25 sq.mm Single Core PVC Sheathed Unarmoured Cables</t>
  </si>
  <si>
    <t>185 sq.mm Single Core PVC Sheathed Unarmoured Cables</t>
  </si>
  <si>
    <t>300 sq.mm Single Core PVC Sheathed Unarmoured Cables</t>
  </si>
  <si>
    <t>Earthing set (Pipe earth as per DRG No.-G/008)</t>
  </si>
  <si>
    <t>33KV CT's (100-50/5)A oil filled OD Type</t>
  </si>
  <si>
    <t xml:space="preserve">H-Beam 152x152 mm 37.1 Kg/Mtr 13 M long (482.30 Kg) x 20 No = 9646 Kgs </t>
  </si>
  <si>
    <t>Stay Clamp for "H" Beam</t>
  </si>
  <si>
    <t>(viii) Stay Clamp for "H" Beam</t>
  </si>
  <si>
    <t>Earlier Bin Code-7130877681</t>
  </si>
  <si>
    <t>Single pole mounted low capacity Single phase / Three phase 11/.4 kV Distribution Transformer Sub-station</t>
  </si>
  <si>
    <t>5 kVA Single phase</t>
  </si>
  <si>
    <t>C-13(I)</t>
  </si>
  <si>
    <t>Using Dog conductor</t>
  </si>
  <si>
    <t>Using Raccoon conductor</t>
  </si>
  <si>
    <t>60 Kg/Mtr 13.0 Mtr long Rails (780 Kg each) x 2 No = 1560 Kgs</t>
  </si>
  <si>
    <t>Using 152x152 mm 37.1 Kg/Mtr 13 M (482.30 Kg) long H-Beam</t>
  </si>
  <si>
    <t xml:space="preserve">(ii) Stay Clamp For H-Beam Pole </t>
  </si>
  <si>
    <t>Cement @ 208 Kg/cmt for Stay</t>
  </si>
  <si>
    <t>Cement @ 208 Kg/Cmt for pole</t>
  </si>
  <si>
    <t>Cement @ 208 Kg/Cmt for stay</t>
  </si>
  <si>
    <t>(viii) MS Nut &amp; Bolt 16x90 mm</t>
  </si>
  <si>
    <t>INDOOR TYPE 33KV CT:PT UNIT 100/5A</t>
  </si>
  <si>
    <t>L.T. C.T.100/5 Amps.</t>
  </si>
  <si>
    <t>INDOOR TYPE 33KV CT:PT UNIT 50/5A</t>
  </si>
  <si>
    <t>L.T. C.T.200/5 Amps.</t>
  </si>
  <si>
    <t>L.T. C.T.300/5 Amps.</t>
  </si>
  <si>
    <t>L.T. C.T.500/5 Amps.</t>
  </si>
  <si>
    <t>220 KV CT 800-400/1-1-1-1-1AMP.</t>
  </si>
  <si>
    <t>33KV CT 400-200/5-5A</t>
  </si>
  <si>
    <t>CURRENT TRANSFORMER 600-300/1/1-1A,132KV</t>
  </si>
  <si>
    <t>132 KV CT 150-75/1</t>
  </si>
  <si>
    <t>220 KV CT 150-75/1</t>
  </si>
  <si>
    <t>33 kV VCB (With CT's &amp; panel)</t>
  </si>
  <si>
    <t>(i) 33 kV VCB (Without CT's &amp; Panel)</t>
  </si>
  <si>
    <t xml:space="preserve">(ii) 33 kV Control Panel </t>
  </si>
  <si>
    <t>(iii) 33 kV CT's 200-100/5 Amps</t>
  </si>
  <si>
    <t>11 kV VCB for X'mer protection (With CTs &amp; panel)</t>
  </si>
  <si>
    <t>(i) 11 kV VCB (Without CT's &amp; Panel)</t>
  </si>
  <si>
    <t xml:space="preserve">(ii) 11 kV Control Panel for Transformer Protection </t>
  </si>
  <si>
    <t xml:space="preserve">(iii) 11 kV CT's 300-150/5 Amps </t>
  </si>
  <si>
    <t>185 Sq mm</t>
  </si>
  <si>
    <t>225 Sq mm</t>
  </si>
  <si>
    <t>240 Sq mm</t>
  </si>
  <si>
    <t>300 Sq mm</t>
  </si>
  <si>
    <t>400 Sq mm</t>
  </si>
  <si>
    <t>Battery Hydrometer</t>
  </si>
  <si>
    <t>Digital Multimeter Electronic Type</t>
  </si>
  <si>
    <t>Rubber Hand gloves 15 kV (Seamless)</t>
  </si>
  <si>
    <t>Thermometer (Wall Mounted)</t>
  </si>
  <si>
    <t>Portable drilling machine</t>
  </si>
  <si>
    <t>Megger 500 V</t>
  </si>
  <si>
    <t>HARDWARE FOR 75X90MM LTSHACKLE INSULATOR</t>
  </si>
  <si>
    <t>11 KV Strain hardware fittings.</t>
  </si>
  <si>
    <t>33 KV Strain hardware fittings.</t>
  </si>
  <si>
    <t>SSH ASSEMBLY WITH ARCING HORN FOR PANTHE</t>
  </si>
  <si>
    <t>BINDING WIRE</t>
  </si>
  <si>
    <t>CONDUCTOR AAA SQURREL</t>
  </si>
  <si>
    <t>CONDUCTOR AAA WEASEL</t>
  </si>
  <si>
    <t>CONDUCTOR AAA RABBIT</t>
  </si>
  <si>
    <t>CONDUCTOR AAA RACOON</t>
  </si>
  <si>
    <t>C-10 (I)</t>
  </si>
  <si>
    <t>C-10 (II)</t>
  </si>
  <si>
    <t>C-10 (III)</t>
  </si>
  <si>
    <t>11/.4 kV Out door Sub-station (16 kVA Transformer)</t>
  </si>
  <si>
    <t>C-11</t>
  </si>
  <si>
    <t>Proposed 33/11 kV S/s expandable to 2x3.15 MVA with control room</t>
  </si>
  <si>
    <t>Proposed 33/11 kV S/s expandable to 2x5 MVA with control room</t>
  </si>
  <si>
    <t>LAND AND CIVIL WORKS</t>
  </si>
  <si>
    <t xml:space="preserve">i </t>
  </si>
  <si>
    <t xml:space="preserve">Area fencing with Barbed wire &amp; RCC post </t>
  </si>
  <si>
    <t>Drilling of bore well (60 Mtr. deep) with Submersible / Jet pump, overhead tank &amp; pipe line for earth pit</t>
  </si>
  <si>
    <t>iii</t>
  </si>
  <si>
    <t>Construction of control room with toilet (size 9.8 mtr x 5.5 mtr control room).</t>
  </si>
  <si>
    <t>iv</t>
  </si>
  <si>
    <t>Chain link mesh yard fencing with 65x65x6 mm 3 Mtr. Height M.S.Angle.</t>
  </si>
  <si>
    <t>v</t>
  </si>
  <si>
    <t>Iron Gate [3.26 x 1.8 m (Weight approx. 300 Kg) in RCC Column of size 40x40 cm]</t>
  </si>
  <si>
    <t>vi</t>
  </si>
  <si>
    <t>vii</t>
  </si>
  <si>
    <t>Yard Metalling 30 m x 30 m x 0.2 m</t>
  </si>
  <si>
    <t>Cu. M</t>
  </si>
  <si>
    <t>viii</t>
  </si>
  <si>
    <t>ix</t>
  </si>
  <si>
    <t>Hume pipe culvert (450 mm dia)</t>
  </si>
  <si>
    <t>x</t>
  </si>
  <si>
    <t>Brick masonary retaining wall 1 Mtr. High.</t>
  </si>
  <si>
    <t>Sub total-1</t>
  </si>
  <si>
    <t>EQUIPMENTS</t>
  </si>
  <si>
    <t xml:space="preserve">33/11 kV transformer 1.60 MVA </t>
  </si>
  <si>
    <t xml:space="preserve">33/11 kV transformer 3.15 MVA </t>
  </si>
  <si>
    <t xml:space="preserve">33/11 kV transformer 5.00 MVA </t>
  </si>
  <si>
    <t>Using Pipe Pushing Method.</t>
  </si>
  <si>
    <t xml:space="preserve">33 kV Under ground cable crossing under existing Railway track / Road for 60 Mtr long Corridor / route length of HDPE pipe under 2.5 M. deep for ground level single feeder line </t>
  </si>
  <si>
    <t>A-6(iv)</t>
  </si>
  <si>
    <t>A-6(iii)</t>
  </si>
  <si>
    <t>Earthing Coil for messenger wire</t>
  </si>
  <si>
    <t>Anchor sleeve for messenger wire</t>
  </si>
  <si>
    <t>(iii) 11 kV CT's 200-100/5 Amps</t>
  </si>
  <si>
    <t>33 kV DO Fuse Unit</t>
  </si>
  <si>
    <r>
      <t xml:space="preserve">33 kV isolator, 600 A. Without earth switch </t>
    </r>
    <r>
      <rPr>
        <sz val="14"/>
        <rFont val="Arial"/>
        <family val="2"/>
      </rPr>
      <t xml:space="preserve"> </t>
    </r>
  </si>
  <si>
    <t>M S NUTS AND BOLTS: - 16x65mm</t>
  </si>
  <si>
    <t>M S NUTS AND BOLTS: - 16x90mm</t>
  </si>
  <si>
    <t>M S NUTS AND BOLTS: - 16x100mm</t>
  </si>
  <si>
    <t>M S NUTS AND BOLTS: - 16x140mm</t>
  </si>
  <si>
    <t>M S NUTS AND BOLTS: - 16x160mm</t>
  </si>
  <si>
    <t>M S NUTS AND BOLTS - 16x200mm</t>
  </si>
  <si>
    <t>M S NUTS AND BOLTS: - 16x300mm</t>
  </si>
  <si>
    <t>M S NUTS AND BOLTS: - 16x250mm</t>
  </si>
  <si>
    <t>M S NUTS AND BOLTS: - 20x75mm</t>
  </si>
  <si>
    <t>M S NUTS AND BOLTS: - 20x90mm</t>
  </si>
  <si>
    <t>M S NUTS AND BOLTS: - 20x110mm</t>
  </si>
  <si>
    <t>M S NUTS AND BOLTS: - 24x120mm</t>
  </si>
  <si>
    <t>Foundation bolt 25x1200 mm</t>
  </si>
  <si>
    <t>WASHER SPRING 25MM HOLE DIA</t>
  </si>
  <si>
    <t>H.R.C. Fuse Unit 100 Amps.</t>
  </si>
  <si>
    <t>H.R.C. Fuse Unit 400 Amps.</t>
  </si>
  <si>
    <t>T.C. Fuse Wire 22 SWG</t>
  </si>
  <si>
    <t>T.C. Fuse Wire 20 SWG</t>
  </si>
  <si>
    <t>T.C. Fuse Wire 18 SWG</t>
  </si>
  <si>
    <t>33 kV ABC Termination kit 240 sqmm</t>
  </si>
  <si>
    <t>33 kV ABC Termination kit 300 sqmm</t>
  </si>
  <si>
    <t>33 kV ABC Termination kit 400 sqmm</t>
  </si>
  <si>
    <t>Cable tie for AB Cable</t>
  </si>
  <si>
    <t xml:space="preserve">11 kV 3 phase Aerial Bunched Cable 3x35 + 35 Sq mm </t>
  </si>
  <si>
    <t xml:space="preserve">11 kV 3 phase Aerial Bunched Cable 3x70 + 70 Sq mm </t>
  </si>
  <si>
    <t xml:space="preserve">11 kV 3 phase Aerial Bunched Cable 3x95 + 95 Sq mm </t>
  </si>
  <si>
    <t xml:space="preserve">11 kV 3 phase Aerial Bunched Cable 3x120 + 120 Sq mm </t>
  </si>
  <si>
    <t>11 kV AB Cable Straight thru' joint kit suitable for 35-70 sqmm</t>
  </si>
  <si>
    <t>11 kV AB Cable Straight thru' joint kit suitable for 95-120 sqmm</t>
  </si>
  <si>
    <t>11 kV ABC Termination kit 35-70 sqmm</t>
  </si>
  <si>
    <t>11 kV ABC Termination kit 95-120 sqmm</t>
  </si>
  <si>
    <t>LT 1 phase 3 Wire Aerial Bunched Cable of Size 1X25+1X16+1x25</t>
  </si>
  <si>
    <t>LT 3 phase 5 Wire Aerial Bunched Cable of Size 3X16+1X16+1x25</t>
  </si>
  <si>
    <t>35 Sqmm.</t>
  </si>
  <si>
    <t>50 Sqmm.</t>
  </si>
  <si>
    <t>70 Sqmm.</t>
  </si>
  <si>
    <t>120 Sqmm.</t>
  </si>
  <si>
    <t>150 Sqmm.</t>
  </si>
  <si>
    <t>300 Sqmm.</t>
  </si>
  <si>
    <t>16.0 Sqmm.</t>
  </si>
  <si>
    <t>km</t>
  </si>
  <si>
    <t>T.W.METER BOARD, 300X300X75 MM, COATED W</t>
  </si>
  <si>
    <t>Meter Box (GI Plain Sheet) for 3 Ph LTCT</t>
  </si>
  <si>
    <t>LTCT METER WITH DLMS</t>
  </si>
  <si>
    <t>Suspension Clamp Assembly with Hook bracket &amp; Pole Clamp</t>
  </si>
  <si>
    <t>Tension/Dead end Clamp Assembly with Hook bracket &amp; Pole Clamp</t>
  </si>
  <si>
    <t>Meter shifting of Three phase consumer to outside of premises with New Service Cable.</t>
  </si>
  <si>
    <t>E-6</t>
  </si>
  <si>
    <t>E-6(i)</t>
  </si>
  <si>
    <t>E-6(ii)</t>
  </si>
  <si>
    <t>SAP DESCRIPTION</t>
  </si>
  <si>
    <t>33KV 400 sqmm XLPE cable (Underground)</t>
  </si>
  <si>
    <t>2 Core (ARMOURED)</t>
  </si>
  <si>
    <t>2 Core (UNARMOURED)</t>
  </si>
  <si>
    <t>4 Core (UNARMOURED)</t>
  </si>
  <si>
    <t>4 Core (ARMOURED)</t>
  </si>
  <si>
    <t>8 Core (UNARMOURED)</t>
  </si>
  <si>
    <t>10 Core (UNARMOURED)</t>
  </si>
  <si>
    <t>10 Core (ARMOURED)</t>
  </si>
  <si>
    <t>12 Core (UNARMOURED)</t>
  </si>
  <si>
    <t>33 kV ; 600 Amps without earth switch.</t>
  </si>
  <si>
    <t xml:space="preserve">  5 kVAR</t>
  </si>
  <si>
    <t>10 kVAR</t>
  </si>
  <si>
    <t>12 kVAR</t>
  </si>
  <si>
    <t>20 kVAR</t>
  </si>
  <si>
    <t>1089 kVAR 12.1 kV 3-phase 50 Hz Outdoor type Capacitor bank having step as 363</t>
  </si>
  <si>
    <t>MS Nuts and bolts 16x65 mm</t>
  </si>
  <si>
    <t>MS Nuts and bolts 16x90 mm</t>
  </si>
  <si>
    <t>MS Nuts and bolts 16x160 mm</t>
  </si>
  <si>
    <r>
      <t>Cement for Concreting of  foundation of 33 kV VCB (1:3:6) =</t>
    </r>
    <r>
      <rPr>
        <b/>
        <sz val="10"/>
        <rFont val="Arial"/>
        <family val="2"/>
      </rPr>
      <t>7 cmt.</t>
    </r>
  </si>
  <si>
    <t>PCC supports 140 Kg; 8.0 Mtr. for 11 kV Bus</t>
  </si>
  <si>
    <t>MS Channel 5.2 Mtr. long</t>
  </si>
  <si>
    <t>GRAND TOTAL (Round Off)</t>
  </si>
  <si>
    <t>COST SCHEDULE   A-7</t>
  </si>
  <si>
    <t>SCHEDULE FOR  LAST SPAN CABLING OF  33 kV  H.T. CONNECTION</t>
  </si>
  <si>
    <t xml:space="preserve">H-Beam 152x152 mm 37.1 Kg/Mtr 13 M (482.30 Kg) x 10 No = 4823 Kgs </t>
  </si>
  <si>
    <t xml:space="preserve">H-Beam 152x152 mm 37.1 Kg/Mtr 13 M (482.30Kg) x 10 No = 4823 Kgs </t>
  </si>
  <si>
    <t xml:space="preserve">(vi) I-Bolt Big Size </t>
  </si>
  <si>
    <t>DC Cross arm (100x50 mm) Channel 2.4 Mtr. (1.5 X 20 = 30)</t>
  </si>
  <si>
    <t>(iii) 33 kV Guarding Channel</t>
  </si>
  <si>
    <t xml:space="preserve">Transport Charges up to 50 km average lead from area Stores to Construction Camp Including Side Transport </t>
  </si>
  <si>
    <t>A-4</t>
  </si>
  <si>
    <t>(H)</t>
  </si>
  <si>
    <t>A-5</t>
  </si>
  <si>
    <t>(I)</t>
  </si>
  <si>
    <t>A-6</t>
  </si>
  <si>
    <t>60 Mtr</t>
  </si>
  <si>
    <t>With 3 core U/G XLPE 240 sqmm Cable</t>
  </si>
  <si>
    <t>A-6(i)</t>
  </si>
  <si>
    <t>Bimetallic clamps for transformer &amp;kiosk</t>
  </si>
  <si>
    <t>SLEEVE JOINTING ALUMINIUM FOR 0.03SQ INC</t>
  </si>
  <si>
    <t>SLEEVE REPAIR ALUMINIUM FOR .2SQ INCH AC</t>
  </si>
  <si>
    <t>LIGHTNING ARRESTORS 30 KV gapless type</t>
  </si>
  <si>
    <t>LIGHTNING ARRESTORS11 KV gapless type.</t>
  </si>
  <si>
    <t>Transformer mounting 100 x 50 mm channel</t>
  </si>
  <si>
    <t>I bolt 16 mm Dia</t>
  </si>
  <si>
    <t>STAY SET WITHOUT STAY WIRE16mm Paint11KV</t>
  </si>
  <si>
    <t>STAY SET WITHOUT STAY WIRE 20mm (Painted</t>
  </si>
  <si>
    <t>STAY WIRES : - 7/4,00 MM (7/8 SWG).</t>
  </si>
  <si>
    <t>STAY WIRES: - 7/3,05 MM (7/10 SWG)</t>
  </si>
  <si>
    <t>EARTHING COIL 8SWG GI WIRE 50MM DIA 450M</t>
  </si>
  <si>
    <t>Earthing rod 25mm x 1.2 Mtrs.</t>
  </si>
  <si>
    <t>G.I. WIRES: - 3,15MM (10 SWG)</t>
  </si>
  <si>
    <t>G.I. WIRES: - 4,0MM (8 SWG)</t>
  </si>
  <si>
    <t>G.I. WIRES: - 5,0MM (6 SWG)</t>
  </si>
  <si>
    <t>DOUB TENS H/W FOR ZEB/ CAMEL COND S/S TY</t>
  </si>
  <si>
    <t>Jointing Kit&amp;HW LT ABC CableStraight Sus</t>
  </si>
  <si>
    <r>
      <t xml:space="preserve">Cement for Con. Of X'mer foundation (1:3:6) = </t>
    </r>
    <r>
      <rPr>
        <b/>
        <sz val="10"/>
        <rFont val="Arial"/>
        <family val="2"/>
      </rPr>
      <t>15 cmt</t>
    </r>
  </si>
  <si>
    <t>Cable trench for addl two VCB &amp; Xmer</t>
  </si>
  <si>
    <t>Services</t>
  </si>
  <si>
    <t>Control cable for Xmer &amp; VCB</t>
  </si>
  <si>
    <t>Relocation of 11/0.4 kV Out-door type Transformer Sub-station using H-Beam Pole and 3.5 Core PVC Cable [Based on Cost Schedule C-7 (B-1) except X-mer Cost]</t>
  </si>
  <si>
    <t>C-7(B-1) A (I)</t>
  </si>
  <si>
    <t>63 kVA on  H-Beam 152x152 mm, 37.1 Kg/Mtr, 11 mtr long</t>
  </si>
  <si>
    <t>C-7(B-1) A (II)</t>
  </si>
  <si>
    <t>33 kV Polymeric Pin insulator with Pin</t>
  </si>
  <si>
    <t>(iv) Stay Clamp for Rail Pole A Type</t>
  </si>
  <si>
    <t>(v) Stay Clamp for Rail Pole B Type</t>
  </si>
  <si>
    <t>2015-16</t>
  </si>
  <si>
    <t>60 Kg/Mtr 13.0 Mtr long Rails (780 Kg each) x 4 No = 3120 Kgs</t>
  </si>
  <si>
    <t>33 kV Polymer Disc Insulator</t>
  </si>
  <si>
    <t>(v) Stay Clamp for Rail Pole A Type</t>
  </si>
  <si>
    <t>2.6 cmt for Rail &amp; H-Beam, 2.2 cmt for PCC Pole &amp; 2.4 cmt for stay</t>
  </si>
  <si>
    <t>Cement @ 208 Kg/cmt for Rail</t>
  </si>
  <si>
    <t>Cement @ 208 Kg/cmt for PCC</t>
  </si>
  <si>
    <t>Cement @ 208 Kg/cmt for H-Beam</t>
  </si>
  <si>
    <t>M.S.Flat (50x6) mm</t>
  </si>
  <si>
    <t>COST SCHEDULE   A-2 (A)</t>
  </si>
  <si>
    <t>COST SCHEDULE   A-2 (B)</t>
  </si>
  <si>
    <t>Cost per D.P. (Rounded Off)</t>
  </si>
  <si>
    <t>**</t>
  </si>
  <si>
    <t>Dead end Assembly (Suitable for all size cable)</t>
  </si>
  <si>
    <t>1.1KV LT  AB CABLE 3X50+1X16+1X35 SQMM</t>
  </si>
  <si>
    <t>LT 3PH 5 WIRE AERIAL BUNCHED CABLE OF SI</t>
  </si>
  <si>
    <t>Reason for modification</t>
  </si>
  <si>
    <t>because @2 kg per pole</t>
  </si>
  <si>
    <t>Back filling of PCC Pole with boulders @ 0.35 Cmt per pole</t>
  </si>
  <si>
    <t>Earlier supporting clamp not taken</t>
  </si>
  <si>
    <t>New column added</t>
  </si>
  <si>
    <t>M.S.Angle 75x75x6 mm (for bracing 4 No. @ 60 kg each)</t>
  </si>
  <si>
    <t>For dropper of conductor jumper</t>
  </si>
  <si>
    <t>For A.B.Switch base &amp; pipe grouting @ 40 kg per A.B.Switch</t>
  </si>
  <si>
    <t>Service @ 0.6 cmt per pole &amp; 0.05 cmt for base padding.</t>
  </si>
  <si>
    <t>Because 2 No. X-mers are installed</t>
  </si>
  <si>
    <t>11/0.4 kV station transformer (100 kVA)</t>
  </si>
  <si>
    <t xml:space="preserve">Always available X-mers </t>
  </si>
  <si>
    <t>LT Distribution box for 100 kVA X'mer</t>
  </si>
  <si>
    <t xml:space="preserve">R.S. Joist (175x85 mm) </t>
  </si>
  <si>
    <t>11 kV DO fuse &amp; LA mounting DC Cross arm (75x40 mm)</t>
  </si>
  <si>
    <t>250 Watt metal halide fitting / HPSV fitting for Yard lighting</t>
  </si>
  <si>
    <t>AC Distribution board for AC/DC Supply</t>
  </si>
  <si>
    <t xml:space="preserve">11 kV under ground cable crossing under railway track for 60 mtr length, under 2.5 mtr deep for ground level </t>
  </si>
  <si>
    <t>C-12 (i)</t>
  </si>
  <si>
    <t>C-12 (ii)</t>
  </si>
  <si>
    <t>Caping of HDPE Pipe on both end of pipe using circular PVC plate of thickness 10 mm of size equivalent to O.D. of HDPE Pipe and using M-seal to avoid ingrace of moisture, insects, rats etc. to avoid damage to cable.</t>
  </si>
  <si>
    <t>Sundries for meeting out the expenses towards processing fees, submission / approval of drawing using AutoCAD obtaining permission, from railway / Road constructing authorities including liaisoning work etc.</t>
  </si>
  <si>
    <t>Labour Charges for excavation of cable trench using open trench method as per Schedule - AL-6</t>
  </si>
  <si>
    <t>L.T. 5 Pin Cross Arm 50x50x6 mm</t>
  </si>
  <si>
    <t>11 kV Cross Arm Cleat type</t>
  </si>
  <si>
    <t>DELETED</t>
  </si>
  <si>
    <r>
      <t xml:space="preserve">   DELETED</t>
    </r>
    <r>
      <rPr>
        <b/>
        <sz val="8"/>
        <color indexed="9"/>
        <rFont val="Verdana"/>
        <family val="2"/>
      </rPr>
      <t xml:space="preserve"> </t>
    </r>
  </si>
  <si>
    <t>33 kV DP STRUCTURE ON  PCC POLES / H-BEAM POLE (TO BE SUPPLEMENTED WITH EVERY 1.0 KM OF LINE OF RACCOON / DOG  CONDUCTOR)</t>
  </si>
  <si>
    <t>1 KM OF 33 kV LINE ON PCC POLES  / H-BEAM SUPPORT WITH MAXIMUM SPAN OF 100 METERS USING DOG CONDUCTOR</t>
  </si>
  <si>
    <t xml:space="preserve">3 Ø 4 Wire 0.2S Non DLMS </t>
  </si>
  <si>
    <t xml:space="preserve">3 Ø 3 Wire 0.2S Non DLMS </t>
  </si>
  <si>
    <t xml:space="preserve">3 Ø 4 Wire 0.5S Non DLMS </t>
  </si>
  <si>
    <t>CMRI</t>
  </si>
  <si>
    <t>3 Ø 4 Wire 0.2S accuracy class CT operated meter (for 132 kV)</t>
  </si>
  <si>
    <t>Meter Box (GI Plain Sheet) for 3 Phase LT CT operated meter</t>
  </si>
  <si>
    <t>Non Directional, 30-V, 5-Amps IDMT relay.</t>
  </si>
  <si>
    <t>Set of 3 O.C. relays instantaneous high set feature</t>
  </si>
  <si>
    <t>Set of 2 O.C.+ 1 earth fault relay without instantaneous high set feature</t>
  </si>
  <si>
    <t>Master trip relays</t>
  </si>
  <si>
    <t xml:space="preserve">33 kV CT's (400-200/5) Amps. Oil filled </t>
  </si>
  <si>
    <t>33 kV CT's (300-150/5) Amps oil filled</t>
  </si>
  <si>
    <t>33 kV CT's (200-100/5) Amps oil filled</t>
  </si>
  <si>
    <t>33 kV CT's  (100-50/5) Amps. oil filled</t>
  </si>
  <si>
    <t>11 kV Single Phase PT's (Oil filled)</t>
  </si>
  <si>
    <t>100 kVA on H-Beam 152x152 mm,37.1 Kg/Mtr, 11 mtr long</t>
  </si>
  <si>
    <t>C-7(B-1) A (III)</t>
  </si>
  <si>
    <t>200 kVA on  H-Beam 152x152 mm, 37.1 Kg/Mtr,11 mtr long</t>
  </si>
  <si>
    <t>C-7(B-1) A (IV)</t>
  </si>
  <si>
    <t>(B-1) B</t>
  </si>
  <si>
    <t>Renovation of Existing Distribution Transformer</t>
  </si>
  <si>
    <t>25 kVA Transformer</t>
  </si>
  <si>
    <t>C-7(B-1) B (I)</t>
  </si>
  <si>
    <t>63 kVA Transformer</t>
  </si>
  <si>
    <t>C-7(B-1) B (II)</t>
  </si>
  <si>
    <t>100 kVA Transformer</t>
  </si>
  <si>
    <t>11 kV Hardware</t>
  </si>
  <si>
    <t>CT/PT UNIT 33KV/110 V 400-200/5 A OIL</t>
  </si>
  <si>
    <t>VOLTAGE TRANSFORMER 11 K V/110 VOLTS SIN</t>
  </si>
  <si>
    <t>VOLTAGE TRANSFORMER 33KV/110VOLTS SINGLE</t>
  </si>
  <si>
    <t>VOLTAGE TRANSFORMER 132KV/110V SINGLE PH</t>
  </si>
  <si>
    <t>VOLTAGE X-MER 220KV/110-63.5V SINGLE PH</t>
  </si>
  <si>
    <t>SAFETY BELTS</t>
  </si>
  <si>
    <t>Specific gravity correction chart</t>
  </si>
  <si>
    <t>25 Sq.mm, 4 Core</t>
  </si>
  <si>
    <t xml:space="preserve">On 280 Kg, 9.1 Mtrs long PCC poles </t>
  </si>
  <si>
    <t>A-3(i)</t>
  </si>
  <si>
    <t>A-3(ii)</t>
  </si>
  <si>
    <t>On H-Beam 152x152 mm, 37.1Kg/mtr 13 Mtrs long supports.</t>
  </si>
  <si>
    <t>A-3(iii)</t>
  </si>
  <si>
    <t>(E)</t>
  </si>
  <si>
    <t>33 kV Isolator (600 A.) Set without earth switch</t>
  </si>
  <si>
    <t>H BEAMS 152X152MM; 37,1 KG/MTR.</t>
  </si>
  <si>
    <t>MS H BEAMS 152X152MM, 37.1 KG/MTR 11MTR</t>
  </si>
  <si>
    <t>G.I. WIRES: - Barbed wire.</t>
  </si>
  <si>
    <t>I BOLT M 20X128MM THREAD PORTION 50 MM I</t>
  </si>
  <si>
    <t>BOLT WITH NUT G I 16X40 MM</t>
  </si>
  <si>
    <t>BOLT WITH NUT GI 16X65 MM</t>
  </si>
  <si>
    <t>12x100 mm</t>
  </si>
  <si>
    <t>Rs</t>
  </si>
  <si>
    <t xml:space="preserve">Particulars </t>
  </si>
  <si>
    <t>New Sap Bin Code</t>
  </si>
  <si>
    <t xml:space="preserve">Unit </t>
  </si>
  <si>
    <t>Transport charges for transformer upto 50 Kms lead</t>
  </si>
  <si>
    <t>(-) Cost of Old Transformer assuming 25 years of life &amp; 5 years in service.</t>
  </si>
  <si>
    <t>Porcelain Kit-kat fuse unit 63 Amps.</t>
  </si>
  <si>
    <t>Bin Code No.</t>
  </si>
  <si>
    <t>Rate</t>
  </si>
  <si>
    <t>Earthing Coil 8 SWG GI Wire 50 mm dia 450 m</t>
  </si>
  <si>
    <t>Single Pole Cut Point Fitting 100x50 mm</t>
  </si>
  <si>
    <t>Stay Set 20 mm</t>
  </si>
  <si>
    <t>Stay Wire 7/8 SWG @ 8.5 Kg/Pole</t>
  </si>
  <si>
    <t>M.S. Nuts &amp; Bolts 16x40 mm</t>
  </si>
  <si>
    <t>M.S. Nuts &amp; Bolts 16x65 mm</t>
  </si>
  <si>
    <t>Transport Charges</t>
  </si>
  <si>
    <t>Service in lieu of Concreting</t>
  </si>
  <si>
    <t>GRAND TOTAL</t>
  </si>
  <si>
    <t>G.I.Wire 4.0 mm (8 SWG)</t>
  </si>
  <si>
    <t>G.I.Wire 5.0 mm (6 SWG)</t>
  </si>
  <si>
    <t>Jointing kit 11 kV ABC Cable DEAD END ASM</t>
  </si>
  <si>
    <t>Jointing Kit 11 kV ABC Section Suspensio</t>
  </si>
  <si>
    <t>33 kV Guarding Channel 100x50 mm</t>
  </si>
  <si>
    <t>LT Single Phase MCB 5 Amps.</t>
  </si>
  <si>
    <t>LT Single Phase MCB 6 to 16 Amps.</t>
  </si>
  <si>
    <t>LT Three Phase MCB 32 Amps.</t>
  </si>
  <si>
    <t>LT Three Phase MCB 16 Amps.</t>
  </si>
  <si>
    <t>ELCB-MCB Composite Unit 10 Amps. (100 mA DP)</t>
  </si>
  <si>
    <t>ELCB-MCB Composite Unit 16 Amps. (100 mA DP)</t>
  </si>
  <si>
    <t>ELCB-MCB Composite Unit 20 Amps. (100 mA DP)</t>
  </si>
  <si>
    <t>MCCB 32 Amps. (10 kA TP)</t>
  </si>
  <si>
    <t>MCCB 160 Amps. (10 kA TP)</t>
  </si>
  <si>
    <t>D.O.Fuse element 11 kV (1.5 Amp. to 10 Amp.)</t>
  </si>
  <si>
    <t>Copper control cable 10 Core  2.5 Sqmm. (armoured)</t>
  </si>
  <si>
    <t>H.T. Static Trivector Meter 3 Ø 4 Wire 0.5 S with DLMS Protocol category A</t>
  </si>
  <si>
    <t>Universal Meter Box for HT meters.</t>
  </si>
  <si>
    <t>Test terminal Box (TTB)</t>
  </si>
  <si>
    <r>
      <t>Note:-</t>
    </r>
    <r>
      <rPr>
        <b/>
        <sz val="12"/>
        <rFont val="Arial"/>
        <family val="2"/>
      </rPr>
      <t xml:space="preserve">  </t>
    </r>
    <r>
      <rPr>
        <sz val="12"/>
        <rFont val="Arial"/>
        <family val="2"/>
      </rPr>
      <t>1. This Schedule is to be supplemented with Schedule A-1 &amp; A-3.</t>
    </r>
  </si>
  <si>
    <t>Document – As per W/o of G.S. Flat mesh earthing of 33/11 kV S/s as per No. CE/RR/TR/4328/9029  Raipur, Dt. 05/03/2007 (Rate taken from Sch.- III)</t>
  </si>
  <si>
    <r>
      <t xml:space="preserve">(ii) GI Pipe of 40 mm dia </t>
    </r>
    <r>
      <rPr>
        <sz val="10"/>
        <color indexed="10"/>
        <rFont val="Arial"/>
        <family val="2"/>
      </rPr>
      <t xml:space="preserve">2.4 mm thick </t>
    </r>
    <r>
      <rPr>
        <sz val="10"/>
        <rFont val="Arial"/>
        <family val="2"/>
      </rPr>
      <t>3.04 mtr long with 12 mm hole at 18 places at equal distance trapered casing at lower end .</t>
    </r>
  </si>
  <si>
    <t xml:space="preserve">(iii) MS flat 50x6 mm size </t>
  </si>
  <si>
    <t>M.S. Nut- Bolts</t>
  </si>
  <si>
    <t>MS Nuts and bolts 16x40 mm</t>
  </si>
  <si>
    <t>ISI MARKED CABLE ALU 1CORE 50 SQMM 1100V</t>
  </si>
  <si>
    <t>1.1KV LT AB CABLE 3X16+1X16+1X25 SQMM</t>
  </si>
  <si>
    <t>1.1KV LT AB CABLE 3X25+1X16+1X25 SQMM</t>
  </si>
  <si>
    <t>1.1KV LT AB CABLE 3X35+1X16+1X25 SQMM</t>
  </si>
  <si>
    <t>11KV PVC INSULATED 2.5 SQMM TWIN CORE SI</t>
  </si>
  <si>
    <t>11KV PVC INSULATED 6 SQMM TWIN CORE SING</t>
  </si>
  <si>
    <t>11KV PVC INSULATED 10 SQMM FOUR CORE THR</t>
  </si>
  <si>
    <t>11KV PVC INSULATED 150SQMM SINGLE CORE X</t>
  </si>
  <si>
    <t>11KV PVC INSULATED 16SQMM 2 CORE ARMOURE</t>
  </si>
  <si>
    <t>11KV PVC INSULATED 10SQMM 4 CORE ARMOURE</t>
  </si>
  <si>
    <t>33KV A.B. XLPE CABLE 3X95 SQMM</t>
  </si>
  <si>
    <t>33KV A.B. XLPE CABLE 3X185 SQMM</t>
  </si>
  <si>
    <t>33KV A.B. XLPE CABLE 3X240 SQMM</t>
  </si>
  <si>
    <t>11KV ABC TERMINATION KIT 35-70 SQMM</t>
  </si>
  <si>
    <t>CABLE TIE FOR AB CABLE (UV PROTECTED BLA</t>
  </si>
  <si>
    <t>Jointing kit 33KV 3x400sqmm XLPE cable</t>
  </si>
  <si>
    <t>1.1KV STRAIGHT THROUGH JOINTING KIT FOR</t>
  </si>
  <si>
    <t>33KV END TERMINAL JOINTING KIT FOR 240SQ</t>
  </si>
  <si>
    <t>3X95 SQMM 11KV HEAT SHRINKABLE TYPE JOIN</t>
  </si>
  <si>
    <t>3X150 SQMM 11KV HEAT SHRINKABLE TYPE JOI</t>
  </si>
  <si>
    <t>3X240 SQMM 11KV HEAT SHRINKABLE TYPE JOI</t>
  </si>
  <si>
    <t>3X400 SQMM 11KV HEAT SHRINKABLE TYPE JOI</t>
  </si>
  <si>
    <t>3X95 SQMM 11KV HEAT SHRINKABLE INDOOR TY</t>
  </si>
  <si>
    <t>3X240 SQMM 11KV HEAT SHRINKABLE INDOOR T</t>
  </si>
  <si>
    <t>3X400 SQMM 11KV HEAT SHRINKABLE INDOOR T</t>
  </si>
  <si>
    <t>MARSHELLING BOX</t>
  </si>
  <si>
    <t>10 SQMM ALUMINIUM END TERMINALS (LUGS)</t>
  </si>
  <si>
    <t>Particulars of Schedules</t>
  </si>
  <si>
    <t>Schedule Reference</t>
  </si>
  <si>
    <t>Stay Clamp Rail "B" type</t>
  </si>
  <si>
    <t>Back Clamp Rail for H-Beam</t>
  </si>
  <si>
    <t>L.T. 3 Pin Cross Arm 50x50x6 mm</t>
  </si>
  <si>
    <t>L.T. 4 Pin Cross Arm 50x50x6 mm</t>
  </si>
  <si>
    <t>Pad Connector (for Panther conductor)</t>
  </si>
  <si>
    <t>Strain Plate (50x6 mm) for 11 kV</t>
  </si>
  <si>
    <t>33 kV Polymeric Pin Insulator with Pin</t>
  </si>
  <si>
    <t xml:space="preserve">11 kV Polymeric Pin Insulator with Pin </t>
  </si>
  <si>
    <t>Polymer Disc Insulator for 33 kV Side</t>
  </si>
  <si>
    <t>33 kV CTPT Unit 200/5A</t>
  </si>
  <si>
    <t>33 kV CTPT Unit 400-200/5 A</t>
  </si>
  <si>
    <t>Old Bin Code-7132230472</t>
  </si>
  <si>
    <t>Old Bin Code-7132230482</t>
  </si>
  <si>
    <t>Indoor Type 33 kV Metering Cubical CTPT Unit 50/5 A</t>
  </si>
  <si>
    <t xml:space="preserve">Transformer Oil In Barrel </t>
  </si>
  <si>
    <t xml:space="preserve">Transformer Oil In Tanker </t>
  </si>
  <si>
    <t>11 KV Pin insulator without GI Pin</t>
  </si>
  <si>
    <t>New row added // for AC/DC supply</t>
  </si>
  <si>
    <t>New row added // for name plate of S/s</t>
  </si>
  <si>
    <t>Qty earlier taken 49.2 / 58.4 / 64.4 //</t>
  </si>
  <si>
    <t>Qty earlier taken was '6'. // Power X-mer 01 No only</t>
  </si>
  <si>
    <t>Old Bin Code-7130890009</t>
  </si>
  <si>
    <t xml:space="preserve">Binding wire and tape </t>
  </si>
  <si>
    <t>COST SCHEDULE A-6 (A)</t>
  </si>
  <si>
    <t>Labour Charges as per Schedule CL-10 (Schedule is for 1 km line same has been revised as per 50 Mtrs.)</t>
  </si>
  <si>
    <t>Municipality Charges for reinstatement of Road as per Nagar Nigam</t>
  </si>
  <si>
    <t>Transportation Charges as per Schedule</t>
  </si>
  <si>
    <t>Total Cost including Transportation Charges</t>
  </si>
  <si>
    <t>COST SCHEDULE -- A-3 (A)</t>
  </si>
  <si>
    <t>ACSR Dog Conductor 100 sq.mm</t>
  </si>
  <si>
    <t>Cement @ 208 Kg/Cmt</t>
  </si>
  <si>
    <t>Cost per DP for non-guaranteed works (Round off)</t>
  </si>
  <si>
    <t>Labour charges as per Schedule No.- AL-2</t>
  </si>
  <si>
    <t xml:space="preserve">DC cross arm of 100x50 mm Channel 5' Center </t>
  </si>
  <si>
    <t>Stay Wire 7/8 SWG @ 8.5 kg Per stay</t>
  </si>
  <si>
    <t>ITEMS REMOVED  FROM Schedule- B-1 in 2016-17</t>
  </si>
  <si>
    <t>3.15 to 5.0 MVA with 33 kV VCB</t>
  </si>
  <si>
    <t>33/11 kV 3.15  MVA X-mer</t>
  </si>
  <si>
    <t>33/11 kV 5.0  MVA X-mer</t>
  </si>
  <si>
    <t>33 kV VCB (With CT's and control panel)</t>
  </si>
  <si>
    <t>(i) 33 kV VCB (without CT's and panels)</t>
  </si>
  <si>
    <t>(iii) 33 kV CT's (300-150/5) Amps</t>
  </si>
  <si>
    <t>Foundation for 33 kV VCB (1:3:6)</t>
  </si>
  <si>
    <t xml:space="preserve">Terminal clamp for transformer  </t>
  </si>
  <si>
    <t xml:space="preserve">T-clamps for jumper   </t>
  </si>
  <si>
    <t>(i) Services on concreting</t>
  </si>
  <si>
    <t>ROUTE &amp; JOINT INDICATING STONE WITH M.S.</t>
  </si>
  <si>
    <t>Aluminium Paint.</t>
  </si>
  <si>
    <t>Red Oxide Paint.</t>
  </si>
  <si>
    <t>LT AB CABLE 3X70+1X16 (STREET LIGHT)+1X5</t>
  </si>
  <si>
    <t>ISI MARKED CABLE ALU 1CORE 70 SQMM 1100V</t>
  </si>
  <si>
    <t>33KV CONTROL &amp; RELAY PANEL- TRANSFORMER</t>
  </si>
  <si>
    <t>11KV CONTROL &amp; RELAY PANEL- FEEDER CONTR</t>
  </si>
  <si>
    <t>11KV CONTROL &amp; RELAY PANEL- TRANSFORMER</t>
  </si>
  <si>
    <t>3 phase 4 Wire line on 140 kg 8.0 Mtr.long PCC poles with 1100 V grade AB XLPE Cable 3x16+1x25 sq.mm.</t>
  </si>
  <si>
    <t xml:space="preserve">D-6 [4] </t>
  </si>
  <si>
    <t>3 phase 5 Wire L.T. Line on R.S.Joist (175x85) mm, 9.3 Mtr. Long (By replacement of existing bare LT conductor) for Urban area using AB XLPE Cable of size</t>
  </si>
  <si>
    <t>1100 Volt grade AB Cable 3x50+1x25+1x35</t>
  </si>
  <si>
    <t>D-6(A) (i)</t>
  </si>
  <si>
    <t>Additional pole of R.S. Joist (125x70) mm (Mid span) for L.T.Line with A.B.Cable.</t>
  </si>
  <si>
    <t>D-6(B)</t>
  </si>
  <si>
    <t>HVDS system of 200 kVA parent DTR taking 4 KM LT to be converted</t>
  </si>
  <si>
    <t>D-7</t>
  </si>
  <si>
    <t>4 Km</t>
  </si>
  <si>
    <t>%tage Incr. /  Decr. in cost</t>
  </si>
  <si>
    <t>PART-I, 33 kV LINES AND D.P. STRUCTURES</t>
  </si>
  <si>
    <t>(A)</t>
  </si>
  <si>
    <t>100 kVA to 200 kVA</t>
  </si>
  <si>
    <t>Augmentation of 1 km. of 33 kV line from Raccoon to Dog conductor.</t>
  </si>
  <si>
    <t>A-3 (A)</t>
  </si>
  <si>
    <t>(F)</t>
  </si>
  <si>
    <t>A-3 (B)</t>
  </si>
  <si>
    <t>Per No.</t>
  </si>
  <si>
    <t>(G)</t>
  </si>
  <si>
    <t>T.C. Fuse Wire 16 SWG</t>
  </si>
  <si>
    <t>T.C. Fuse Wire 14 SWG</t>
  </si>
  <si>
    <t>CABLE MARKER FOR U/G CABLE</t>
  </si>
  <si>
    <t>7130880041Danger boards 33KV &amp; 11 KV.</t>
  </si>
  <si>
    <t>M.S. SHEET METER PILLER BOX</t>
  </si>
  <si>
    <t>LT FEEDER PILLER BOX FOR 1PH 8 CONNECTIO</t>
  </si>
  <si>
    <t>LT FEEDER PILLER BOX FOR 3PH 4 CONNECTIO</t>
  </si>
  <si>
    <t>LT FEEDER PILLER BOX FOR 3PH 8 CONNECTIO</t>
  </si>
  <si>
    <t>LT LINE SPACERS</t>
  </si>
  <si>
    <t>GSM MODEM</t>
  </si>
  <si>
    <t>EYE HOOK</t>
  </si>
  <si>
    <t>33 KV guarding channel 100x50 mm.</t>
  </si>
  <si>
    <t>LAMP METAL HALIDE 250W</t>
  </si>
  <si>
    <t>METAL HALIDE LAMP 250 WATT</t>
  </si>
  <si>
    <t>ITEMS REMOVED  FROM Schedule- A-8 in 2016-17</t>
  </si>
  <si>
    <t>Concreting of H-Beam supports @ 0.6 Cmt per pole ; @ 0.3 Cmt per stay and @ 0.05 Cmt per pole for base padding for PCC / H-Beam pole.</t>
  </si>
  <si>
    <t>Concreting for 280 kG PCC Pole was earlier 2.9 CMT</t>
  </si>
  <si>
    <t>Qty earlier taken 7 kg</t>
  </si>
  <si>
    <t>LT 3 phase 5 Wire Aerial Bunched Cable of Size 3X50+1x16+1x35</t>
  </si>
  <si>
    <t>PORCELAIN KITKATS FUSE UNITS 16 AMPS</t>
  </si>
  <si>
    <t xml:space="preserve">Terminal clamp for jumpering of 100 Sqmm Al. Eq  ACSR Conductor / Isolator  </t>
  </si>
  <si>
    <t xml:space="preserve"> 11 kV VCB (Without CT's &amp; Panel)</t>
  </si>
  <si>
    <t xml:space="preserve"> 11 kV feeder Control Panel </t>
  </si>
  <si>
    <t>LT 3 phase 5 Wire Aerial Bunched Cable of Size 3X25+1X16+1x25</t>
  </si>
  <si>
    <t>LT 3 phase 5 Wire Aerial Bunched Cable of Size 3X35+1x16+1x25</t>
  </si>
  <si>
    <t>Qty earlier taken 140 RM. // 15 Mtr length covered by Control room area was also counted earlier.</t>
  </si>
  <si>
    <t>Qty earlier taken 6 / 6 / 9. // Per phase 1 No is sufficient</t>
  </si>
  <si>
    <t>Qty earlier taken 4 / 4 / 4. // Due to 2 no. feeder + 1 main VCB</t>
  </si>
  <si>
    <t>Qty earlier taken 2 / 2 / 2. // Non availability of 33/0.4 kV X-mer ( 50 kVA X-mer for Raipur &amp; Bhilai only)</t>
  </si>
  <si>
    <t>xxix</t>
  </si>
  <si>
    <t>xxx</t>
  </si>
  <si>
    <t>Qty earlier taken 180 / 240 / 300. // As per actual requirement</t>
  </si>
  <si>
    <t>Qty earlier taken 780 / 900 / 1020. // As per actual requirement</t>
  </si>
  <si>
    <t>Qty earlier taken 99 / 99 / 105. // As per actual requirement</t>
  </si>
  <si>
    <t>Qty earlier taken 6 / 6 / 7. // Per VCB 1 No. Marshelling Box reqd.</t>
  </si>
  <si>
    <t>Qty earlier taken 8 / 8 / 8. // 5 Set for S/S X-mer; 4 set for metering DP on 33 kV side // 2 set for 33 kV MEDP</t>
  </si>
  <si>
    <t>Qty earlier taken 7 / 7 / 9. // 4/6 set for 11 kV metering &amp; 5 set for power X-mer DP</t>
  </si>
  <si>
    <t xml:space="preserve">New row added. // For DO &amp; LA Mounting  </t>
  </si>
  <si>
    <t>New row added // For isolator base</t>
  </si>
  <si>
    <t>Spot Billing Machine</t>
  </si>
  <si>
    <t>11 kV Oil Immersed 3 Phase CT-PT Unit of capacity --</t>
  </si>
  <si>
    <t>200/5 Amp</t>
  </si>
  <si>
    <t>100/5 Amp</t>
  </si>
  <si>
    <t>33 kV 2 feeder control panel (Static Relays)</t>
  </si>
  <si>
    <t>Qty earlier taken 06 Nos. // Per VCB -01 No &amp; 33 &amp; 11 kV PT -01 No each</t>
  </si>
  <si>
    <t xml:space="preserve">New row added // Handle support for 5 No isolator &amp; 2 No A.B.Switch </t>
  </si>
  <si>
    <t>Qty earlier taken was 63 Nos. // As per actual requirement</t>
  </si>
  <si>
    <t>Qty earlier taken was 75 Each // As per actual requirement</t>
  </si>
  <si>
    <t>L.T. Distribution Box for 200 kVA X'mer (400 A, isolator &amp; 6 SP MCCB of 120A)</t>
  </si>
  <si>
    <t>L.T. Distribution Box for 315 kVA X'mer (600 A, isolator &amp; 9 SP MCCB of 160A)</t>
  </si>
  <si>
    <t>Stay Wire 7/8 SWG @ 8.5 Kg/Stay</t>
  </si>
  <si>
    <t>DC Cross arm (100x50 mm) Channel 5' Center</t>
  </si>
  <si>
    <t>Stay Wire 7/8 SWG @ 8.5 Kg./pole</t>
  </si>
  <si>
    <t>220 kV C.T. 150-75/1</t>
  </si>
  <si>
    <t>220 kV C.T. 300-150/1</t>
  </si>
  <si>
    <t>11 kV Isolator (600 A.)</t>
  </si>
  <si>
    <t xml:space="preserve">   Concreting of structure (1:3:6)</t>
  </si>
  <si>
    <t xml:space="preserve">ACSR 100 Sqmm Al. Eq. Dog Conductor </t>
  </si>
  <si>
    <t>D-4(I)</t>
  </si>
  <si>
    <t>3 Phase, 5 Wire LT line on 175 x 85 mm, 9.3 Mtrs long R.S. Joist with 3 Raccoon &amp; 2 Weasel conductors (Span upto 65 Meters)</t>
  </si>
  <si>
    <t>D-4(II)</t>
  </si>
  <si>
    <t>1 Phase, 3 Wire LT line on 9.3 Mtrs long 125x70 mm R.S. Joist with following conductors</t>
  </si>
  <si>
    <t>D-5(I)</t>
  </si>
  <si>
    <t>(i) H-Beam 152x152 mm 08 mtr long 37.1 kg/mtr i.e.= 296.8 kg/pole x 4 No = 1187.20 Kgs</t>
  </si>
  <si>
    <t xml:space="preserve">(ii) D.C.Cross arm Channel 5.2 mtr 100x50 mm </t>
  </si>
  <si>
    <t>SET OF 3 O.C. RELAYS INSTANTANEOUS HIGH</t>
  </si>
  <si>
    <t>SET OF 2 O.C. +1 EARTH FAULT RELAY WITHO</t>
  </si>
  <si>
    <t>TESTER NEON/PENCIL/SCREW DRIVER</t>
  </si>
  <si>
    <t>THERMOMETER (WALL MOUNTED)</t>
  </si>
  <si>
    <t>6 TO 16 AMPS LT SINGLE PHASE MCB</t>
  </si>
  <si>
    <t>160AMPS(10 KA TP) MOULDED CASE CIRCUIT B</t>
  </si>
  <si>
    <t>LT ROBUST POLE FUSE UNIT</t>
  </si>
  <si>
    <t>L.T. Distribution Box for 63 kVA X'mer (200 A, isolator &amp; 6 SP MCCB of 100 A)</t>
  </si>
  <si>
    <t>L.T. Distribution Box for 100 kVA X'mer (200 A, isolator &amp; 6 SP MCCB of 200 A)</t>
  </si>
  <si>
    <t>C-7(A-1)(III)</t>
  </si>
  <si>
    <t>11 kV Polymer Lightning Arrestors</t>
  </si>
  <si>
    <t>DIGITAL TONG TESTER 3 1/2 DIGITAL LCD DI</t>
  </si>
  <si>
    <t>HAND TORCH 3 CELLED</t>
  </si>
  <si>
    <t>DRY CHEMICAL POWER FIRE</t>
  </si>
  <si>
    <t>RIVER SAND</t>
  </si>
  <si>
    <t>OIL IMMERSED 3 PHASE CTPT UNITS 200/5</t>
  </si>
  <si>
    <t>COST SCHEDULE   B-2</t>
  </si>
  <si>
    <t>1600 kVA</t>
  </si>
  <si>
    <t>3150 kVA</t>
  </si>
  <si>
    <t>5000 kVA</t>
  </si>
  <si>
    <t>Cost of Transformer as per Schedule of rates</t>
  </si>
  <si>
    <t>Power Transformer 1600 kVA</t>
  </si>
  <si>
    <t>Power Transformer 3150 kVA</t>
  </si>
  <si>
    <t>Power Transformer 5000 kVA</t>
  </si>
  <si>
    <t>Services for Painting</t>
  </si>
  <si>
    <t>Labour charges as per Schedule BL-3</t>
  </si>
  <si>
    <t>Transport charges upto 50 Km average lead from Area Store to construction camp including site transport (Transport Sch T-2)</t>
  </si>
  <si>
    <t>Total cost</t>
  </si>
  <si>
    <t>Total Cost (Rounded off)</t>
  </si>
  <si>
    <t>33 kV line on PCC Pole / H-Beam poles with Raccoon conductor.</t>
  </si>
  <si>
    <t>33 kV DP Structure on PCC Pole / H-Beam Pole</t>
  </si>
  <si>
    <t>33 kV line on PCC Pole / H-Beam Pole with Dog conductor.</t>
  </si>
  <si>
    <t>33 kV line on H-Beam supports suspension type with Panther Conductor (Maximum span of 50 Mtrs)</t>
  </si>
  <si>
    <t xml:space="preserve">33 kV DP Structure on H-Beam supports with Panther Conductor </t>
  </si>
  <si>
    <t>33 kV MEDP Structure on PCC Pole / H-Beam Pole</t>
  </si>
  <si>
    <t xml:space="preserve">Stay Set 20 mm complete </t>
  </si>
  <si>
    <t>Danger Board</t>
  </si>
  <si>
    <t>Labour Charges  as per Schedule  AL-2</t>
  </si>
  <si>
    <t>Cost per Km for Non- guaranteed Works (Rounded off )</t>
  </si>
  <si>
    <t xml:space="preserve">Cost per DP for Non- guaranteed Works (Rounded off ) </t>
  </si>
  <si>
    <t>S.No.</t>
  </si>
  <si>
    <t>Particulars</t>
  </si>
  <si>
    <t>Jointing Sleeves suitable for Dog ACSR Conductor</t>
  </si>
  <si>
    <t>Guarding</t>
  </si>
  <si>
    <t>(i) GI Wire 6 SWG</t>
  </si>
  <si>
    <t>(iv) M.S Nut &amp; Bolt 16x140 mm.</t>
  </si>
  <si>
    <t>(vii) Stay Wire 7/8 SWG @ 8.5 Kg. Stay</t>
  </si>
  <si>
    <t>Service in lieu of concreting, metal &amp; sand</t>
  </si>
  <si>
    <t>Labour Charges</t>
  </si>
  <si>
    <t>Stay erection</t>
  </si>
  <si>
    <t>11KV MULTICIRCUIT(2F) CONTROL PANNELS (S</t>
  </si>
  <si>
    <t>11KV MULTICIRCUIT ONE TRANSFORMER &amp; ONE</t>
  </si>
  <si>
    <t>33KV MULTICIRCUIT ONE TRANSFORMER &amp; ONE</t>
  </si>
  <si>
    <t>FIBER GLASS DISCHARGE ROD</t>
  </si>
  <si>
    <t>PLIER COMBINATION SIDE CUTTING 200 MM</t>
  </si>
  <si>
    <t>SCREW DRIVER 250MM</t>
  </si>
  <si>
    <t>SCREW DRIVER 200MM</t>
  </si>
  <si>
    <t>RM (light)</t>
  </si>
  <si>
    <t>LT Capacitor for 25 kVA DT</t>
  </si>
  <si>
    <t>LT Capacitor for 63 kVA DT</t>
  </si>
  <si>
    <t>LT Capacitor for 100 kVA DT</t>
  </si>
  <si>
    <t>LT Capacitor for 200 kVA DT</t>
  </si>
  <si>
    <t>LT Capacitor for 315 kVA DT</t>
  </si>
  <si>
    <t>(33/11 kV SUB-STATIONS)</t>
  </si>
  <si>
    <t>(i) 33 kV Polymer Disc Insulator</t>
  </si>
  <si>
    <t>16 SQMM ALUMINIUM END TERMINALS (LUGS)</t>
  </si>
  <si>
    <t>50 SQMM ALUMINIUM END TERMINALS (LUGS)</t>
  </si>
  <si>
    <t>70 SQMM ALUMINIUM END TERMINALS (LUGS)</t>
  </si>
  <si>
    <t>95 SQMM ALUMINIUM END TERMINALS (LUGS)</t>
  </si>
  <si>
    <t>120 SQMM ALUMINIUM END TERMINALS (LUGS)</t>
  </si>
  <si>
    <t>150 SQMM ALUMINIUM END TERMINALS (LUGS)</t>
  </si>
  <si>
    <r>
      <t>Cement for Concreting of  foundation of 11 kV VCB (1:3:6) =</t>
    </r>
    <r>
      <rPr>
        <b/>
        <sz val="10"/>
        <rFont val="Arial"/>
        <family val="2"/>
      </rPr>
      <t>12 cmt.</t>
    </r>
  </si>
  <si>
    <t>3x185 sq.mm AB XLPE Cable</t>
  </si>
  <si>
    <t>3x240 sq.mm AB XLPE Cable</t>
  </si>
  <si>
    <r>
      <t xml:space="preserve">33 kV Termination Kit for 3x185 sqmm AB XLPE Cable  </t>
    </r>
    <r>
      <rPr>
        <sz val="14"/>
        <rFont val="Arial"/>
        <family val="2"/>
      </rPr>
      <t>*</t>
    </r>
  </si>
  <si>
    <t>D-5(II)</t>
  </si>
  <si>
    <t>D-5(III)</t>
  </si>
  <si>
    <t xml:space="preserve">25 kVA (3 Star) Aluminium Wound </t>
  </si>
  <si>
    <t>63 kVA (3 Star) Aluminium Wound</t>
  </si>
  <si>
    <t>100 kVA (3 Star) Aluminium Wound</t>
  </si>
  <si>
    <t>200 kVA (3 Star) Aluminium Wound</t>
  </si>
  <si>
    <t>25 kVA (Conventional)</t>
  </si>
  <si>
    <t xml:space="preserve">63 kVA (Conventional) </t>
  </si>
  <si>
    <t xml:space="preserve">100 kVA (Conventional) </t>
  </si>
  <si>
    <t xml:space="preserve">200 kVA (Conventional) </t>
  </si>
  <si>
    <t xml:space="preserve">315 kVA (Conventional) </t>
  </si>
  <si>
    <t xml:space="preserve">315 kVA (CEA Design) </t>
  </si>
  <si>
    <t xml:space="preserve">500 kVA (Conventional) </t>
  </si>
  <si>
    <t>LAMPS: -Tube Light (40 Watts.)</t>
  </si>
  <si>
    <t>250 WATT SODIUM VAPOUR LAMP WITH HOLDER</t>
  </si>
  <si>
    <t>MERCURY VAPOUR LAMP 250 WATTS 230/250 VO</t>
  </si>
  <si>
    <t>S/ V HIGH PRESSURE LAMP 400W 230/250V</t>
  </si>
  <si>
    <t>CFL 20 WATTS LAMP</t>
  </si>
  <si>
    <t>COST  SCHEDULE  FOR ADDITIONAL  (MID SPAN)  POLE  FOR  33 kV  LINE USING  37.1 KG / MTR 13 M. LONG H-BEAM SUPPORT</t>
  </si>
  <si>
    <t>1 KM OF 33 kV LINE ON 37.1 KG / MTR 13 M. LONG H-BEAM SUSPENSION TYPE WITH PANTHER CONDUCTOR  (WITH MAXIMUM SPAN OF 50 METERS)</t>
  </si>
  <si>
    <t xml:space="preserve"> 33 kV D.P. STRUCTURE ON 13 M. LONG H-BEAM POLE FOR PANTHER CONDUCTOR (TO BE SUPPLEMENTED WITH EVERY 0.3 kM OF SUSPENSION LINE)</t>
  </si>
  <si>
    <t>33 kV MEDP STRUCTURE ON  PCC POLE / H-BEAM POLE (TO BE SUPPLEMENTED FOR H.T. CONNECTION)</t>
  </si>
  <si>
    <t xml:space="preserve">  All the rates are with considering price variation clause.</t>
  </si>
  <si>
    <t>COST  SCHEDULE  B-3</t>
  </si>
  <si>
    <t>( 33 kV SUB-STATIONS )</t>
  </si>
  <si>
    <t>SCHEDULE FOR INSTALLATION OF ADDITIONAL TRANSFORMER FOR PARALLEL OPERATION WITH TWO ADDITIONAL BAY ON 11 kV SIDE</t>
  </si>
  <si>
    <t>Sub-station capacity</t>
  </si>
  <si>
    <t>1.6 MVA</t>
  </si>
  <si>
    <t>3.15 MVA</t>
  </si>
  <si>
    <t>5.0 MVA</t>
  </si>
  <si>
    <t>Power Transformer 33/11 kV</t>
  </si>
  <si>
    <t>Power Transformer 1.6 MVA</t>
  </si>
  <si>
    <t>Power Transformer 3.15 MVA</t>
  </si>
  <si>
    <t>Power Transformer 5 MVA</t>
  </si>
  <si>
    <t>33 kV VCB  with CT's and panels.</t>
  </si>
  <si>
    <t>(i) 33 kV VCB ( without CT's and panels)</t>
  </si>
  <si>
    <t>(ii) 33 kV Control Panel</t>
  </si>
  <si>
    <t>(iii) 33 kV CT's 200-100/5A</t>
  </si>
  <si>
    <t>11 kV VCB for X'mer protection with CT's and panels.</t>
  </si>
  <si>
    <t>(i) 11 kV VCB (without CTs &amp; Panel)</t>
  </si>
  <si>
    <t>(ii) 11 kV Control Panel for X-mer Protection</t>
  </si>
  <si>
    <t>(iii) 11 kV CT's 300-150/5 Amps</t>
  </si>
  <si>
    <t>11 kV VCB for feeder protection with  CT's and panels.</t>
  </si>
  <si>
    <t>(iii) 60 Kg/Mtr 13.0 Mtr long Rails (780 Kg each) x 2 No = 1560 Kgs</t>
  </si>
  <si>
    <t>280 Kg; 9.1 Mtr long</t>
  </si>
  <si>
    <t>132 kV C.T. 600-300/1</t>
  </si>
  <si>
    <t>132 kV C.T. 150-75/1</t>
  </si>
  <si>
    <t>c) 2 Core 2.5 Sqmm. (unarmoured)</t>
  </si>
  <si>
    <t>Earthing for addl X'mer &amp; VCB</t>
  </si>
  <si>
    <t>D Transformer Mounting 100x50 mm Channel</t>
  </si>
  <si>
    <t>Transformer Mounting with Belting for Addl. X-Arm</t>
  </si>
  <si>
    <t>I-Bolt - 16 mm</t>
  </si>
  <si>
    <t>Stay Set 16 mm (Painted) LT &amp; 11 KV</t>
  </si>
  <si>
    <t>Stay Set 20 mm (Painted)</t>
  </si>
  <si>
    <t>Stay Wire 7/4.00 mm (7/8 SWG)</t>
  </si>
  <si>
    <t>Stay Wire 7/3.15 mm (7/10 SWG)</t>
  </si>
  <si>
    <t>Earthing Rod 25 mm 1.2 Mtr.</t>
  </si>
  <si>
    <t>G.I.Wire 3.15 mm (10 SWG)</t>
  </si>
  <si>
    <t>The charges to be paid for according railway permission shall be made as per actuals i.e. based on the demand note / payment received for the same.</t>
  </si>
  <si>
    <t>33 kV Composite Disc insulator</t>
  </si>
  <si>
    <t>33 kV Pin insulator with Pin</t>
  </si>
  <si>
    <t>11 kV Pin insulator with Pin</t>
  </si>
  <si>
    <t>Strain H/W up to Rabbit.</t>
  </si>
  <si>
    <t>Strain H/W for Raccoon &amp; Dog.</t>
  </si>
  <si>
    <t>Distribution box 3 phase 2 connectors</t>
  </si>
  <si>
    <t>STREET LIGHT FITTING WITH TUBE LIGHT</t>
  </si>
  <si>
    <t>STREET LIGHT FITTING WITH CFL</t>
  </si>
  <si>
    <t>HPSV LAMP 150 WATT</t>
  </si>
  <si>
    <t>HPSV LAMP 250 WATT</t>
  </si>
  <si>
    <t>150 WATT METAL HALIDE HPSV FITTING</t>
  </si>
  <si>
    <t>250 WATT METAL HALIDE HPSV FITTING</t>
  </si>
  <si>
    <t>ENERGY METER ENECTRONIC 10-60 AMPS</t>
  </si>
  <si>
    <t>SUMMATION METER</t>
  </si>
  <si>
    <t>DC VOLT METER RANG -3V TO +5V</t>
  </si>
  <si>
    <t>STATIC ENERGY METER S.PH 2 WIRE 5-30 A</t>
  </si>
  <si>
    <t>Common Meter Reading Instrument CMRI</t>
  </si>
  <si>
    <t>HT TRIVECTOR METER 5 AMPS</t>
  </si>
  <si>
    <t>ELECTORNIC LTCT METER 3X4 100/5 A</t>
  </si>
  <si>
    <t>3PHASE 4WIRE HT TRIVECTOR STATIC (ELECTR</t>
  </si>
  <si>
    <t>3PHASE 4WIRE 1AMP HT TRIVECTOR STATIC (</t>
  </si>
  <si>
    <t>3PHASE 3WIRE 1AMP HT TRIVECTOR STATIC (</t>
  </si>
  <si>
    <t>TTB</t>
  </si>
  <si>
    <t>LT ELEC.STATIC METER3X4X20-100A WITHLUGS</t>
  </si>
  <si>
    <t>3 PHASE 4 WIRE LTCT OPERATED METER</t>
  </si>
  <si>
    <t>MULTIMETER ELECTRONIC DIGITAL</t>
  </si>
  <si>
    <t>MEGGER 1000VOLTS</t>
  </si>
  <si>
    <t>Poly Carbonate seals for meter</t>
  </si>
  <si>
    <t>Poly Carbonate seal double anker type</t>
  </si>
  <si>
    <t>LT Feeder Piller box for 1 phase 8 connection made of M.S.Sheet.</t>
  </si>
  <si>
    <t>B-2(i)</t>
  </si>
  <si>
    <t>B-2(ii)</t>
  </si>
  <si>
    <t>B-2(iii)</t>
  </si>
  <si>
    <t>Installation of additional transformer for parallel operation with one additional bay on 11 kV side</t>
  </si>
  <si>
    <t>B-3(i)</t>
  </si>
  <si>
    <t>B-3(ii)</t>
  </si>
  <si>
    <t>B-3(iii)</t>
  </si>
  <si>
    <t>350 Kg; 7.0 Mtr long</t>
  </si>
  <si>
    <t>100x50 mm</t>
  </si>
  <si>
    <t>75x40 mm</t>
  </si>
  <si>
    <t>65x8 mm</t>
  </si>
  <si>
    <t>50x6 mm</t>
  </si>
  <si>
    <t>65 x 65 x 6 mm</t>
  </si>
  <si>
    <t>50 x 50 x 6 mm</t>
  </si>
  <si>
    <t xml:space="preserve">Anchor clamp assembly (consisting of GI Pole Clamp, GI Flat type I-hook &amp; Nylon Cable tie). </t>
  </si>
  <si>
    <t>3 Phase, 5 Wire LT line on 125 x 70 mm, 9.3 Mtrs long R.S. Joist with 3 Rabbit &amp; 2 Weasel conductors (Span upto 45 Meters)</t>
  </si>
  <si>
    <t>500 kVA [CEA Design] (4 Star) Copper Wound Transformer</t>
  </si>
  <si>
    <t xml:space="preserve">12.1 kV,1815 kVAr, 3-Phase, 50 Hz, Outdoor Type, Capacitor bank having  step as  363 Kvar + 726 Kvar+ 726  Kvar 12.1 KV. </t>
  </si>
  <si>
    <t>C-18 (i)</t>
  </si>
  <si>
    <t xml:space="preserve">12.1 kV,1089 KVAr, 3-Phase, 50 Hz, Outdoor Type, Capacitor bank having  step as 363 Kvar + 726 Kvar 12.1 KV . </t>
  </si>
  <si>
    <t>C-18 (ii)</t>
  </si>
  <si>
    <t>PART-V, 11/0.4 kV Transformer S/s.</t>
  </si>
  <si>
    <t>A (A-1)</t>
  </si>
  <si>
    <t>25 kVA on 140 Kg, 8.0 Mtr long PCC poles</t>
  </si>
  <si>
    <t>C-7(A-1)(I)</t>
  </si>
  <si>
    <t>63 kVA on 140 Kg, 8.0 Mtr long PCC poles</t>
  </si>
  <si>
    <t>C-7(A-1)(II)</t>
  </si>
  <si>
    <t>100 kVA on 175 x 85 mm, 9.0 Mtr long reinforced R.S. Joist.</t>
  </si>
  <si>
    <t xml:space="preserve">7 Mtr long 152 x 152 mm H-Beam (37.1 Kg/ Mtr weight) ie 37.1x7mtr = 259.7 Kg/pole x 4 Nos = 1038.8 Kgs. </t>
  </si>
  <si>
    <t>11 kV AB Switch complete</t>
  </si>
  <si>
    <t>11 kV Strain set with hardware</t>
  </si>
  <si>
    <t>ACSR Conductor 80 Sqmm Al. Eq. Raccoon Conductor</t>
  </si>
  <si>
    <t xml:space="preserve">T-clamps for Raccoon Conductor </t>
  </si>
  <si>
    <t>M.S. Flat 50x6 mm</t>
  </si>
  <si>
    <t>(ii) 11 kV Control Panel for feeder protection</t>
  </si>
  <si>
    <t>RECOMMENDED TO DELETE</t>
  </si>
  <si>
    <t>SAME RATE</t>
  </si>
  <si>
    <t>(O)</t>
  </si>
  <si>
    <t xml:space="preserve">Laying of 1 Km 11 kV Line using </t>
  </si>
  <si>
    <t>3 Core 95 Sqmm underground cable</t>
  </si>
  <si>
    <t>C-15(I)</t>
  </si>
  <si>
    <t>3 Core 240 Sqmm  underground cable</t>
  </si>
  <si>
    <t>C-15(II)</t>
  </si>
  <si>
    <t>Stringing of Dog Conductor</t>
  </si>
  <si>
    <t>Ckt Km</t>
  </si>
  <si>
    <t>Labour Charge for Guarding</t>
  </si>
  <si>
    <t>Span</t>
  </si>
  <si>
    <t>Dismantling Charges</t>
  </si>
  <si>
    <t>Returnable cost of old conductor  assuming 25 years of life &amp; 20 years in service</t>
  </si>
  <si>
    <t>33 kV Top Clamp</t>
  </si>
  <si>
    <t>G.I.Strip 25x3 mm</t>
  </si>
  <si>
    <t>NEW ITEM ADDED</t>
  </si>
  <si>
    <t>Double end spanner (6x7,8x9, 10x11,12x13,14x15,16x17,18x19, 20x22x,21x23,24x27,25x28,30x32)</t>
  </si>
  <si>
    <t>Hack saw frames + B185</t>
  </si>
  <si>
    <t>Hand Torch 5 cell</t>
  </si>
  <si>
    <t>Hand Torch 3 cell</t>
  </si>
  <si>
    <t>Discharge Rod</t>
  </si>
  <si>
    <t>Neon tester</t>
  </si>
  <si>
    <t>Screw driver Set</t>
  </si>
  <si>
    <t>Screw driver 250 mm</t>
  </si>
  <si>
    <t>Screw driver 200 mm</t>
  </si>
  <si>
    <t>Screw driver 150 mm</t>
  </si>
  <si>
    <t>Hammer 8 Lbs (3629 gm)</t>
  </si>
  <si>
    <t>Hammer 2 Lbs (907 gm.)</t>
  </si>
  <si>
    <t>Allen keys set of 9 Pcs.(1.5mm; 2mm; 2.5mm;3mm; 4mm; 5mm; 6mm; 8mm; 10mm) Black finish, box packing</t>
  </si>
  <si>
    <t>(iii) 33 kV Guarding Channel (Set)</t>
  </si>
  <si>
    <t xml:space="preserve">(iii) 33 kV guarding channel </t>
  </si>
  <si>
    <t>Concreting of Stay Set @ 0.3 Cmt per stay</t>
  </si>
  <si>
    <t>`</t>
  </si>
  <si>
    <t>11 kV Disc Insulator</t>
  </si>
  <si>
    <t>Concreting of pole @ 0.6 Cmt per pole; @ 0.05 Cmt per pole for base padding &amp; @ 0.3 Cmt per Stay</t>
  </si>
  <si>
    <t>Labour charges: -</t>
  </si>
  <si>
    <t>X'mer erection (Labour sch BL-3)</t>
  </si>
  <si>
    <t>Other items as per schedule [Labour Schedule BL-2+(3*BL-4)]</t>
  </si>
  <si>
    <t>Transport charges upto 50 Km lead from area stores to construction site for addl. lead refer Schedule T-2</t>
  </si>
  <si>
    <t xml:space="preserve">For Transformer only </t>
  </si>
  <si>
    <t xml:space="preserve">For other material (Excluding Power Transformer) </t>
  </si>
  <si>
    <t xml:space="preserve">SUB TOTAL-B </t>
  </si>
  <si>
    <t>Grand Total cost of S/s. (Rounded off)</t>
  </si>
  <si>
    <t xml:space="preserve">5 kVA Single Phase </t>
  </si>
  <si>
    <t xml:space="preserve">10 kVA Single Phase </t>
  </si>
  <si>
    <t>50 kVA (Copper winding)</t>
  </si>
  <si>
    <t>KL</t>
  </si>
  <si>
    <t>Incidental Charges @ 9% : -</t>
  </si>
  <si>
    <t xml:space="preserve">SUB TOTAL-1 </t>
  </si>
  <si>
    <t xml:space="preserve">SUB TOTAL-2 </t>
  </si>
  <si>
    <t>Overhead Charges @ 11% [Market Fluctuation, Service Tax, Contractor's profit etc.]</t>
  </si>
  <si>
    <t>Transportation charges</t>
  </si>
  <si>
    <r>
      <t>33 kV VCB</t>
    </r>
    <r>
      <rPr>
        <sz val="10"/>
        <rFont val="Verdana"/>
        <family val="2"/>
      </rPr>
      <t xml:space="preserve"> without control panel &amp; CT's.</t>
    </r>
  </si>
  <si>
    <t>1 Feeder + 1 Transformer (Static Relays)</t>
  </si>
  <si>
    <r>
      <t xml:space="preserve">33 kV </t>
    </r>
    <r>
      <rPr>
        <sz val="10"/>
        <rFont val="Verdana"/>
        <family val="2"/>
      </rPr>
      <t>Transformer Control Panel (Static Relays)</t>
    </r>
  </si>
  <si>
    <t>HVDS system of 100 kVA parent DTR taking 3 KM LT to be converted</t>
  </si>
  <si>
    <t>D-8</t>
  </si>
  <si>
    <t>3Km</t>
  </si>
  <si>
    <t>HVDS system of 63 kVA parent DTR taking 2 KM LT to be converted</t>
  </si>
  <si>
    <t>D-9</t>
  </si>
  <si>
    <t>2Km</t>
  </si>
  <si>
    <t>Conversion of 1 Km LT line into 11 kV line</t>
  </si>
  <si>
    <t>D-10</t>
  </si>
  <si>
    <t>Qty.</t>
  </si>
  <si>
    <t>HDPE Pipe 200 mm ID; 240 mm OD</t>
  </si>
  <si>
    <t xml:space="preserve">Jointing arrangement of HDPE Pipe </t>
  </si>
  <si>
    <r>
      <t>Rate</t>
    </r>
    <r>
      <rPr>
        <b/>
        <sz val="10"/>
        <rFont val="Arial"/>
        <family val="2"/>
      </rPr>
      <t xml:space="preserve"> </t>
    </r>
  </si>
  <si>
    <t>11 kV Polymer Disc insulator for double disc</t>
  </si>
  <si>
    <t>75 x 75 x 6 mm</t>
  </si>
  <si>
    <t>1:1.5:3 Ratio</t>
  </si>
  <si>
    <t>1:3:6 Ratio</t>
  </si>
  <si>
    <t>0.02 Sq.inch (20 Sqmm Al. Eq.) (Squirrel)</t>
  </si>
  <si>
    <t>0.03 Sq.inch (30 Sqmm Al. Eq.) (Weasel)</t>
  </si>
  <si>
    <t>0.05 Sq.inch (50 Sqmm Al. Eq.) (Rabbit)</t>
  </si>
  <si>
    <t>0.075 Sq.inch (80 Sqmm Al. Eq.) (Raccoon)</t>
  </si>
  <si>
    <t>0.10 Sq.inch (100 Sqmm Al. Eq.) (Dog)</t>
  </si>
  <si>
    <t>0.2 Sq inch ( 130 Sqmm Al.Eq.)(Panther)</t>
  </si>
  <si>
    <t>0.02 Sq.inch (20/22 Sqmm Al. Eq.) (Squirrel)</t>
  </si>
  <si>
    <t>0.03 Sq.inch (30/34 Sqmm Al. Eq.) (Weasel)</t>
  </si>
  <si>
    <t>0.05 Sq.inch (50/55 Sqmm Al. Eq.) (Rabbit)</t>
  </si>
  <si>
    <t xml:space="preserve">Disc insulator </t>
  </si>
  <si>
    <t>11 kV Pin insulator</t>
  </si>
  <si>
    <t xml:space="preserve">33 kV Pin insulator </t>
  </si>
  <si>
    <t>Earthing coil (Coil of 115 turns of 50 mm dia. &amp; 2.5 Mtrs lead of 4.0 mm GI wire)</t>
  </si>
  <si>
    <t>Barbed wire</t>
  </si>
  <si>
    <t>52 kgs per mtr/105 lbs yard</t>
  </si>
  <si>
    <t>MT</t>
  </si>
  <si>
    <t>60 kgs per mtr</t>
  </si>
  <si>
    <t xml:space="preserve"> 37.1 Kg/Mtr.; 13 Mtr. Length</t>
  </si>
  <si>
    <t xml:space="preserve"> 37.1 Kg/Mtr.; 11 Mtr. Length</t>
  </si>
  <si>
    <t>175 x 85 mm</t>
  </si>
  <si>
    <t>125 x 70 mm</t>
  </si>
  <si>
    <t>140 Kg; 8.0 Mtr long</t>
  </si>
  <si>
    <t xml:space="preserve">(ii) H-Beam 152x152 mm 37.1 Kg/Mtr; 13 Mtr long (482.3 Kg) / pole x 2 No = 964.6 Kgs </t>
  </si>
  <si>
    <t>COST SCHEDULE  B -1</t>
  </si>
  <si>
    <t>Km.</t>
  </si>
  <si>
    <t>16 Sq.mm.</t>
  </si>
  <si>
    <t>KM</t>
  </si>
  <si>
    <t>50 Sq.mm.</t>
  </si>
  <si>
    <t>70 Sq.mm</t>
  </si>
  <si>
    <t>150 Sq.mm</t>
  </si>
  <si>
    <t>300 Sq.mm</t>
  </si>
  <si>
    <t>400 Sq.mm</t>
  </si>
  <si>
    <t>2.5 Sqmm.</t>
  </si>
  <si>
    <t>Per Mtr.</t>
  </si>
  <si>
    <t>6.0 Sqmm.</t>
  </si>
  <si>
    <t>10 Sq.mm.</t>
  </si>
  <si>
    <t>25 Sq.mm.</t>
  </si>
  <si>
    <t>120 Sq.mm</t>
  </si>
  <si>
    <t>240 Sq.mm</t>
  </si>
  <si>
    <t>3x70 Sq.mm</t>
  </si>
  <si>
    <t>3x95 Sq.mm</t>
  </si>
  <si>
    <t>3x150 Sq.mm</t>
  </si>
  <si>
    <t>3x240 Sq. mm</t>
  </si>
  <si>
    <t>3x400 Sq. mm</t>
  </si>
  <si>
    <t>Battery charger</t>
  </si>
  <si>
    <t>Battery (Low Maintenance SAN controller)</t>
  </si>
  <si>
    <t>CFL 7 Watts</t>
  </si>
  <si>
    <t>CFL 11 Watts</t>
  </si>
  <si>
    <t>Strain Plate (65x8) mm</t>
  </si>
  <si>
    <t xml:space="preserve">16 kVA (4 Star) Aluminium Wound </t>
  </si>
  <si>
    <t xml:space="preserve">25 kVA (4 Star) Aluminium Wound </t>
  </si>
  <si>
    <t xml:space="preserve">63 kVA (4 Star) Aluminium Wound </t>
  </si>
  <si>
    <t xml:space="preserve">100 kVA (4 Star) Aluminium Wound </t>
  </si>
  <si>
    <t xml:space="preserve">200 kVA (4 Star) Aluminium Wound </t>
  </si>
  <si>
    <t xml:space="preserve">16 kVA (3 Star) Copper Wound </t>
  </si>
  <si>
    <t>11 kV feeder control VCB with CT's (One 11 kV VCB controlling two feeders) with control panel.</t>
  </si>
  <si>
    <r>
      <t xml:space="preserve">                               </t>
    </r>
    <r>
      <rPr>
        <b/>
        <u val="single"/>
        <sz val="14"/>
        <rFont val="Arial"/>
        <family val="2"/>
      </rPr>
      <t>COST SCHEDULE B-4</t>
    </r>
  </si>
  <si>
    <r>
      <t xml:space="preserve">                                             </t>
    </r>
    <r>
      <rPr>
        <b/>
        <u val="single"/>
        <sz val="10"/>
        <rFont val="Arial"/>
        <family val="2"/>
      </rPr>
      <t>(33/11 kV SUB-STATIONS)</t>
    </r>
  </si>
  <si>
    <t>Labour charges as per Schedule No BL-8</t>
  </si>
  <si>
    <t xml:space="preserve">Transport charges for VCB </t>
  </si>
  <si>
    <t>33 kV Covered conductor 99 sq.mm (258 Amp) (with 3% sag)</t>
  </si>
  <si>
    <t>70 sq.mm Covered Conductor</t>
  </si>
  <si>
    <t>99 sq.mm Covered Conductor</t>
  </si>
  <si>
    <t>CFL 15 Watts</t>
  </si>
  <si>
    <t>CFL 20 Watts</t>
  </si>
  <si>
    <t>CFL 23 Watts</t>
  </si>
  <si>
    <t xml:space="preserve">125 Watt Mercury Vapour </t>
  </si>
  <si>
    <t xml:space="preserve">250 Watt Mercury Vapour </t>
  </si>
  <si>
    <t xml:space="preserve">250 Watt Metal Halide  </t>
  </si>
  <si>
    <t xml:space="preserve">250 Watt Sodium Vapour </t>
  </si>
  <si>
    <t>Halogen Filament (1000 Watts)</t>
  </si>
  <si>
    <t>Tube Light Rod (T5 type)</t>
  </si>
  <si>
    <t>Search Light Unit with 1000 Watt Halogen Lamp.</t>
  </si>
  <si>
    <t xml:space="preserve">Street Light fitting with tube light </t>
  </si>
  <si>
    <t>Street Light fitting with CFL</t>
  </si>
  <si>
    <t>HPSV lamp 150 watt</t>
  </si>
  <si>
    <t>HPSV Choke 250 watt</t>
  </si>
  <si>
    <t>150 Watt metal halide fitting / HPSV fitting</t>
  </si>
  <si>
    <t>250 Watt metal halide fitting / HPSV fitting</t>
  </si>
  <si>
    <t>Mercury vapour lamp for Gate lighting 2 Nos</t>
  </si>
  <si>
    <t>Aluminium binding wire and tape.</t>
  </si>
  <si>
    <t>Aluminium bobbin.</t>
  </si>
  <si>
    <r>
      <t xml:space="preserve">33 kV Termination Kit for 3x240 sqmm AB XLPE Cable  </t>
    </r>
    <r>
      <rPr>
        <sz val="14"/>
        <rFont val="Arial"/>
        <family val="2"/>
      </rPr>
      <t>*</t>
    </r>
  </si>
  <si>
    <t>3x185 sq.mm 33 kV AB XLPE Cable</t>
  </si>
  <si>
    <t>3x240 sq.mm 33 kV AB XLPE Cable</t>
  </si>
  <si>
    <t>Cable marker for U/G cable</t>
  </si>
  <si>
    <t>End terminating jointing kit  for 240 sqmm XLPE cable</t>
  </si>
  <si>
    <t>152x152 mm 37.1 Kg/Mtr 13 M (482.30 Kg) long H-Beam</t>
  </si>
  <si>
    <t>60 Kg/Mtr 13.0 Mtr long Rails (780 Kg each) x 20 No = 15600 Kgs</t>
  </si>
  <si>
    <t>Stay Clamp for Rail Pole A Type</t>
  </si>
  <si>
    <t>Stay Clamp for Rail Pole B Type</t>
  </si>
  <si>
    <r>
      <t>33 kV</t>
    </r>
    <r>
      <rPr>
        <sz val="10"/>
        <rFont val="Verdana"/>
        <family val="2"/>
      </rPr>
      <t xml:space="preserve"> feeder control panel (Static Relays).</t>
    </r>
  </si>
  <si>
    <t>11 kV Sectionalizer.</t>
  </si>
  <si>
    <t>11 kV ; 600 Amps.</t>
  </si>
  <si>
    <t>33 kV ; 600 Amps with earth switch.</t>
  </si>
  <si>
    <t>Labour charges as per Schedule No BL-5</t>
  </si>
  <si>
    <t xml:space="preserve">Transport charges upto 50 Km lead from Area stores to construction site for addl lead refer Schedule T-2. </t>
  </si>
  <si>
    <t>Note: -For the provision of 33 kV VCB installation, the cost Schedule No.- B-6 may be referred to. All the rates are with considering price variation clause</t>
  </si>
  <si>
    <t>COST SCHEDULE B-6</t>
  </si>
  <si>
    <t>INSTALLATION OF  33 kV  VCB</t>
  </si>
  <si>
    <t>Jointing arrangement of HDPE Pipe</t>
  </si>
  <si>
    <t>G.I. Pipe 200 mm for 400 mm cable of dia 105 mm</t>
  </si>
  <si>
    <t>Caping of HDPE Pipe on both end of pipe with concreting and bricks work.</t>
  </si>
  <si>
    <r>
      <t xml:space="preserve">                              </t>
    </r>
    <r>
      <rPr>
        <b/>
        <u val="single"/>
        <sz val="14"/>
        <rFont val="Arial"/>
        <family val="2"/>
      </rPr>
      <t>COST SCHEDULE   A-6</t>
    </r>
  </si>
  <si>
    <t xml:space="preserve">Cost per 50 Mtr Undergrounding (Rounded off) </t>
  </si>
  <si>
    <t>DISTRIBUTION BOX 1 PH 4 CONNECTOR</t>
  </si>
  <si>
    <t>DISTRIBUTION BOX 1 PH 9 CONNECTOR</t>
  </si>
  <si>
    <t>3 Core 400 Sqmm underground cable</t>
  </si>
  <si>
    <t>C-15(III)</t>
  </si>
  <si>
    <t>(P)</t>
  </si>
  <si>
    <t>D.T. Capacitors on existing DTR's (Retained &amp; shifted)</t>
  </si>
  <si>
    <t>C-16</t>
  </si>
  <si>
    <t>C-16 (i)</t>
  </si>
  <si>
    <t>C-16 (ii)</t>
  </si>
  <si>
    <t>C-16 (iii)</t>
  </si>
  <si>
    <t>C-16 (iv)</t>
  </si>
  <si>
    <t>C-16 (v)</t>
  </si>
  <si>
    <t>(Q)</t>
  </si>
  <si>
    <t>37.1 Kg /Mtrs 11 Mtrs long H-Beam supports</t>
  </si>
  <si>
    <t>C-17 (i)</t>
  </si>
  <si>
    <t>(R)</t>
  </si>
  <si>
    <t>New Automated 11 kV Capacitor Bank at 33/11 kV Sub-stations</t>
  </si>
  <si>
    <t>LT Feeder Piller box for 1 phase 12 connection made of M.S.Sheet.</t>
  </si>
  <si>
    <t xml:space="preserve">LT Feeder Piller box for 3 phase 4 connection made of M.S.Sheet. </t>
  </si>
  <si>
    <t>LT Feeder Piller box for 3 phase 8 connection made of M.S.Sheet.</t>
  </si>
  <si>
    <t>L.T.Line Spacers</t>
  </si>
  <si>
    <t>GSM Modem</t>
  </si>
  <si>
    <t>10 Sq mm</t>
  </si>
  <si>
    <t>16 Sq mm</t>
  </si>
  <si>
    <t>25 Sq mm</t>
  </si>
  <si>
    <t>32 Sq mm</t>
  </si>
  <si>
    <t>50 Sq mm</t>
  </si>
  <si>
    <t>70 Sq mm</t>
  </si>
  <si>
    <t>95 Sq mm</t>
  </si>
  <si>
    <t>120 Sq mm</t>
  </si>
  <si>
    <t>150 Sq mm</t>
  </si>
  <si>
    <t>Additional (Mid Span) Poles for new 11 kV Line with Raccoon Conductor</t>
  </si>
  <si>
    <t>C-9(A)</t>
  </si>
  <si>
    <t>(M)</t>
  </si>
  <si>
    <t>C-12</t>
  </si>
  <si>
    <t>(N)</t>
  </si>
  <si>
    <t xml:space="preserve">11 kV under ground cable Road crossing for 50 mtr length, under 2.5 mtr deep for ground level </t>
  </si>
  <si>
    <t>C-12 (A)</t>
  </si>
  <si>
    <t>Installation of 33 kV VCB</t>
  </si>
  <si>
    <t>B-6</t>
  </si>
  <si>
    <t>Installation of single phase A.B. Switch on existing feeder outlet DP from 33/11 kV S/s</t>
  </si>
  <si>
    <t>B-7</t>
  </si>
  <si>
    <t>Augmentation of Power Transformer</t>
  </si>
  <si>
    <t>B-8(i)</t>
  </si>
  <si>
    <t>B-8(ii)</t>
  </si>
  <si>
    <t>B-8(iii)</t>
  </si>
  <si>
    <t>Installation of 1.6 MVA 33/11 kV Sub-Station ON LINE</t>
  </si>
  <si>
    <t>B-9</t>
  </si>
  <si>
    <t>PART-III, 11 kV LINES AND  D.P.STRUCTURES</t>
  </si>
  <si>
    <t xml:space="preserve">11 kV line on 140 Kg 8.0 Mtr long PCC poles with </t>
  </si>
  <si>
    <t>Rabbit conductor</t>
  </si>
  <si>
    <t>C-1(I)</t>
  </si>
  <si>
    <t>Weasel conductor</t>
  </si>
  <si>
    <t>C-1(II)</t>
  </si>
  <si>
    <t>11 kV DP structure on 140 Kg, 8.0 Mtr long PCC poles</t>
  </si>
  <si>
    <t>C-2</t>
  </si>
  <si>
    <t>PART-IV, 11 kV LINES AND  D.P.STRUCTURES ON RAIL &amp; H-BEAM</t>
  </si>
  <si>
    <t>(1) All the rates are with considering price variation clause.</t>
  </si>
  <si>
    <t xml:space="preserve">11 kV DP structure on RS Joist 175X85 mm 11.0 Mtr. long </t>
  </si>
  <si>
    <t>Using 1100 Volt grade AB Cable 3x25+1x16+1x25</t>
  </si>
  <si>
    <t xml:space="preserve">Horizontal &amp; Cross bracing </t>
  </si>
  <si>
    <t>Route &amp; joint indicating stone with M.S. anchor rod</t>
  </si>
  <si>
    <t>Cable covering tiles 250x250x40 mm</t>
  </si>
  <si>
    <t>Per 1000</t>
  </si>
  <si>
    <t>(i) Stay Clamp For PCC Pole</t>
  </si>
  <si>
    <t xml:space="preserve">Stay Clamp </t>
  </si>
  <si>
    <t>Cost per DP for non-guaranteed works</t>
  </si>
  <si>
    <t xml:space="preserve">(i) 280 Kg; 9.1 Mtr long PCC Pole </t>
  </si>
  <si>
    <t>(vii) Stay set 20 mm complete</t>
  </si>
  <si>
    <t>Cost per Km for non-guaranteed works</t>
  </si>
  <si>
    <t>Cost per Km for non-guaranteed works (Rounded off)</t>
  </si>
  <si>
    <t>33 kV Top Clamps</t>
  </si>
  <si>
    <t>33 kV Strain H.W. fitting</t>
  </si>
  <si>
    <t xml:space="preserve"> Guarding 33 kV </t>
  </si>
  <si>
    <t xml:space="preserve">(i) GI Wire 6 SWG </t>
  </si>
  <si>
    <t xml:space="preserve">(ii) GI Wire 8 SWG </t>
  </si>
  <si>
    <t>(iv) Stay Clamp Set</t>
  </si>
  <si>
    <t>(v) M.S. Nut &amp; Bolt 16x140 mm</t>
  </si>
  <si>
    <t>(viii) Stay wire 7/8 SWG &amp; 8.5 Kg/stay</t>
  </si>
  <si>
    <t>COST SCHEDULE - A-3</t>
  </si>
  <si>
    <t>COST SCHEDULE  A-4</t>
  </si>
  <si>
    <t>(vii) Stay Wire 7/8 SWG &amp; 8.5 Kg. Stay</t>
  </si>
  <si>
    <t>(i) G.I. Wire 6 SWG</t>
  </si>
  <si>
    <t>(ii) G.I. Wire 8 SWG</t>
  </si>
  <si>
    <t>Guarding 33 kV for single span</t>
  </si>
  <si>
    <t>COST SCHEDULE  A-5</t>
  </si>
  <si>
    <t>AUGMENTATION OF 33/11 kV SUB-STATION CAPACITY  BY REPLACEMENT OF POWER TRANSFORMER</t>
  </si>
  <si>
    <t>1.6 to 3.15 MVA</t>
  </si>
  <si>
    <t>3.15 to 5.0 MVA without 33 kV VCB</t>
  </si>
  <si>
    <t>ACSR Dog conductor</t>
  </si>
  <si>
    <t>11 kV Polymeric Pin Insulator with Pin</t>
  </si>
  <si>
    <t xml:space="preserve">33 kV Polymeric Pin Insulator with Pin </t>
  </si>
  <si>
    <t>(i) 33 kV Polymer Disc insulator .</t>
  </si>
  <si>
    <r>
      <t xml:space="preserve">T-clamp for jumper connection with AB Switches &amp; DO fuses / Isolator. </t>
    </r>
    <r>
      <rPr>
        <sz val="14"/>
        <rFont val="Arial"/>
        <family val="2"/>
      </rPr>
      <t xml:space="preserve"> </t>
    </r>
  </si>
  <si>
    <t xml:space="preserve">(i) 11 kV Polymer Disc insulator </t>
  </si>
  <si>
    <t>150 Sq.mm, 3.5 Core</t>
  </si>
  <si>
    <t>300 Sq.mm, 3.5 Core</t>
  </si>
  <si>
    <t>400 Sq.mm, 3.5 Core</t>
  </si>
  <si>
    <t>3x400 Sq.mm.</t>
  </si>
  <si>
    <t>95 Sq.mm</t>
  </si>
  <si>
    <r>
      <t xml:space="preserve">                              </t>
    </r>
    <r>
      <rPr>
        <b/>
        <u val="single"/>
        <sz val="14"/>
        <rFont val="Arial"/>
        <family val="2"/>
      </rPr>
      <t>COST SCHEDULE   A-10</t>
    </r>
  </si>
  <si>
    <t>Suspension H/W suitable for Panther Conductor.</t>
  </si>
  <si>
    <t>For X-mer protection in case of main VCB Failure</t>
  </si>
  <si>
    <t>0.05 x10 base pad + 5x0.3 stay=2 cmt</t>
  </si>
  <si>
    <t>Pole not concreted but back filled (earlier it was there in schedule till 2013-14)</t>
  </si>
  <si>
    <t>D.C.cross- arm of 100 X  50 X 6 mm. suitable for 5' centre DP</t>
  </si>
  <si>
    <t>Three Phase, 10-60 Amps. with poly carbonate Meter Box</t>
  </si>
  <si>
    <t>Three Phase, 20-100 Amps. with Meter Box with data storage.</t>
  </si>
  <si>
    <t>CT operated electronic static meters 100/5 Amp. With data storage.</t>
  </si>
  <si>
    <t>CT operated electronic static meters with DLMS.</t>
  </si>
  <si>
    <t>CT operated electronic static meters with AMR (Composite Unit).</t>
  </si>
  <si>
    <t>33 kV Single Phase PT</t>
  </si>
  <si>
    <t>11 kV Single Phase PT</t>
  </si>
  <si>
    <t xml:space="preserve">On 280 Kg 9.1 Mtrs long PCC poles </t>
  </si>
  <si>
    <t>A-1(i)</t>
  </si>
  <si>
    <t>LT 3 phase 4 Wire Aerial Bunched Cable of Size 3X16+1x25</t>
  </si>
  <si>
    <t>70 Sq.mm, 3.5 Core</t>
  </si>
  <si>
    <t>Total Hike in %</t>
  </si>
  <si>
    <t xml:space="preserve">             2.   All the rates are with considering price variation clause.</t>
  </si>
  <si>
    <t>COST SCHEDULE   A-8</t>
  </si>
  <si>
    <t>Labour charges as per Schedule No.- AL-2(A)</t>
  </si>
  <si>
    <t>60 Kg/Mtr 13.0 Mtr long Rails (780 Kg each) x 1 No = 780 Kgs</t>
  </si>
  <si>
    <t xml:space="preserve">SCHEDULE FOR  LAST SPAN CABLING OF 33 kV LINE USING COVERED CONDUCTOR OF 70 &amp; 99 SQ.MM SIZE </t>
  </si>
  <si>
    <t>33 kV Covered conductor 70 sq.mm (207 Amp) (with 3% sag)</t>
  </si>
  <si>
    <t xml:space="preserve">Fixing of 33/11 kV S/S (Name Plate) Board made up of 2 mm thick MS Sheet of size 5'x8' as per approved drawing. </t>
  </si>
  <si>
    <t xml:space="preserve">Earlier - Labour charges for transformer </t>
  </si>
  <si>
    <t xml:space="preserve">Earlier - Labour &amp; transport charges for VCB </t>
  </si>
  <si>
    <t xml:space="preserve">Cross Arm Clamp </t>
  </si>
  <si>
    <t>Service Ring</t>
  </si>
  <si>
    <t xml:space="preserve">Straight through joints </t>
  </si>
  <si>
    <t>End cap for 50/70 Sq.mm</t>
  </si>
  <si>
    <t>SHACKEL INSULATORS 90 x 75 mm.</t>
  </si>
  <si>
    <t>Stay insulators.</t>
  </si>
  <si>
    <t>GI Pin for 11 KV Pin insulator</t>
  </si>
  <si>
    <t>GI Pin for 33 KV Pin insulator</t>
  </si>
  <si>
    <t>Aluminium Bobbin.</t>
  </si>
  <si>
    <t>Total cost of Sub-station (Including Civil works)</t>
  </si>
  <si>
    <t>Grand Total cost of S/s.</t>
  </si>
  <si>
    <t>Grand Total (Rounded off)</t>
  </si>
  <si>
    <t>(1)</t>
  </si>
  <si>
    <t>(2)</t>
  </si>
  <si>
    <t>(3)</t>
  </si>
  <si>
    <t>The cost of  land is not taken in to account since normally CSPDCL acquires Govt. land at negligible cost. How ever needs to be procure other than Govt. land then should be added actual cost.</t>
  </si>
  <si>
    <t>Distribution Board with MCB</t>
  </si>
  <si>
    <t>Pair</t>
  </si>
  <si>
    <t xml:space="preserve">(ii) MS flat 50x6 mm size </t>
  </si>
  <si>
    <t xml:space="preserve">Rate </t>
  </si>
  <si>
    <t>Amount</t>
  </si>
  <si>
    <t>Kg.</t>
  </si>
  <si>
    <t>No,</t>
  </si>
  <si>
    <t>Set</t>
  </si>
  <si>
    <t>No.</t>
  </si>
  <si>
    <t>Earthing Set (Coil Earth as per Drg. No. G/007)</t>
  </si>
  <si>
    <t>Mtr.</t>
  </si>
  <si>
    <t xml:space="preserve">Stay Set 20 mm Complete  </t>
  </si>
  <si>
    <t xml:space="preserve">Set. </t>
  </si>
  <si>
    <t xml:space="preserve">Cmt. </t>
  </si>
  <si>
    <t xml:space="preserve">Cement </t>
  </si>
  <si>
    <t>Ltr.</t>
  </si>
  <si>
    <t>(x) Stay Clamp for Rail Pole B Type</t>
  </si>
  <si>
    <t>(ix) Stay Clamp for Rail Pole A Type</t>
  </si>
  <si>
    <t xml:space="preserve">Charges payable to Railway including supervision charges etc. </t>
  </si>
  <si>
    <t>Static 5.0-30 Amps Pilfer proof with transparent poly carbonate meter box.</t>
  </si>
  <si>
    <t>Cost of erection of 1 No. of H-Beam Pole for 33 kV Line</t>
  </si>
  <si>
    <t>152x152 mm 37.1 Kg/Mtr 13 M (482.30 Kg) H-Beam</t>
  </si>
  <si>
    <t>9646</t>
  </si>
  <si>
    <t xml:space="preserve">  70 Sqmm.</t>
  </si>
  <si>
    <t>120 Sq.mm.</t>
  </si>
  <si>
    <t xml:space="preserve">400 Sqmm. </t>
  </si>
  <si>
    <t>3x95 Sq.mm.</t>
  </si>
  <si>
    <t>3x150 Sq.mm.</t>
  </si>
  <si>
    <t>3x185 Sq.mm.</t>
  </si>
  <si>
    <t>3x240 Sq.mm.</t>
  </si>
  <si>
    <t>33 kV AB Cable Straight thru' joint kit suitable for 35-70 sqmm</t>
  </si>
  <si>
    <t>33 kV AB Cable Straight thru' joint kit suitable for 95-120 sqmm</t>
  </si>
  <si>
    <t>33 kV ABC Termination kit 35-70 sqmm</t>
  </si>
  <si>
    <t>33 kV ABC Termination kit 95-120 sqmm</t>
  </si>
  <si>
    <t>11 kV OUT DOOR YARD EXTENSION FOR ADDL. BAY WITH CIRCUIT BREAKER</t>
  </si>
  <si>
    <t>1.6 MVA &amp; Above</t>
  </si>
  <si>
    <t>DISTRIBUTION BOX 3 PH 2 CONNECTOR</t>
  </si>
  <si>
    <t>DISTRIBUTION BOX 3 PH 4 CONNECTOR</t>
  </si>
  <si>
    <t>11 kV Post Insulator</t>
  </si>
  <si>
    <t>33 kV Post Insulator</t>
  </si>
  <si>
    <t>90 x 75 mm.</t>
  </si>
  <si>
    <t>65 x 50 mm.</t>
  </si>
  <si>
    <t>Stay insulator</t>
  </si>
  <si>
    <t>Split insulator</t>
  </si>
  <si>
    <t>Files of sizes</t>
  </si>
  <si>
    <t>Safety belts</t>
  </si>
  <si>
    <t>Safety helmets</t>
  </si>
  <si>
    <t>POLYCARBONATE SEAL</t>
  </si>
  <si>
    <t>METTING RUBBER 1900X1800X12MM</t>
  </si>
  <si>
    <t>TRANSFORMER OIL In Tanker/barrel</t>
  </si>
  <si>
    <t>POLY CORBONATE SEAL DOUBLE ANKER TYPE</t>
  </si>
  <si>
    <t>HDPE PIPE 200MM ID; 240MM OD</t>
  </si>
  <si>
    <t>JOINTING ARRANGEMENT OF HDPE PIPE</t>
  </si>
  <si>
    <t>30 Volt 100 AH lead acid battery charger</t>
  </si>
  <si>
    <t>PVC INSULATION TAPES 19 MM WIDE AND IN R</t>
  </si>
  <si>
    <t>COST SCHEDULE --  A-3 (B)</t>
  </si>
  <si>
    <t>11 kV Out door yard extension for additional bay with circuit breaker.</t>
  </si>
  <si>
    <t>B-4</t>
  </si>
  <si>
    <t>33 kV Out door yard extension for additional bay without circuit breaker.</t>
  </si>
  <si>
    <t>B-5</t>
  </si>
  <si>
    <t>NEW COLUMN ADDED</t>
  </si>
  <si>
    <t>Qty earlier was 38 No.</t>
  </si>
  <si>
    <t>Qty earlier was 160 Mtr.</t>
  </si>
  <si>
    <t>Renamed, Earlier-- GI pipe 200 mm for 400 sqmm cable of dia 105 mm</t>
  </si>
  <si>
    <t xml:space="preserve">On H-Beam 11 meter long  </t>
  </si>
  <si>
    <t>Additional (Mid span) Poles for 11 kV Line on H-Beam</t>
  </si>
  <si>
    <t>C-3 (A)</t>
  </si>
  <si>
    <t>C-3 (B)</t>
  </si>
  <si>
    <t>Augmentation of 11 kV Line from Weasel to Raccoon Conductor</t>
  </si>
  <si>
    <t>C-3 (C)</t>
  </si>
  <si>
    <t>Augmentation of 11 kV Line from Weasel to Rabbit Conductor</t>
  </si>
  <si>
    <t>C-3 (D)</t>
  </si>
  <si>
    <t>11 kV Overhead XLPE Cable Line on H-Beam Pole with average span 30 Mtrs.</t>
  </si>
  <si>
    <t>C-3 (E)</t>
  </si>
  <si>
    <t xml:space="preserve">11 kV DP structure on  </t>
  </si>
  <si>
    <t>H-Beam 11 meter long</t>
  </si>
  <si>
    <t>11 kV line on RS Joist (175X85 mm) 11.0 Meters long  with</t>
  </si>
  <si>
    <t>C-5(I)</t>
  </si>
  <si>
    <t xml:space="preserve"> Weasel conductor</t>
  </si>
  <si>
    <t>C-5(II)</t>
  </si>
  <si>
    <t>C-6</t>
  </si>
  <si>
    <t>C-8(I)</t>
  </si>
  <si>
    <t>C-8(II)</t>
  </si>
  <si>
    <t xml:space="preserve">11 kV line on H-Beam (152x152 mm) 13 meter long with </t>
  </si>
  <si>
    <t>Raccoon conductor</t>
  </si>
  <si>
    <t>C-9(I)</t>
  </si>
  <si>
    <t>C-9(II)</t>
  </si>
  <si>
    <t>Locally fabricated - 3 Phase fuse units (Robust fuse for circuit base).</t>
  </si>
  <si>
    <r>
      <t>11 kV Kiosk VCB</t>
    </r>
    <r>
      <rPr>
        <sz val="10"/>
        <rFont val="Verdana"/>
        <family val="2"/>
      </rPr>
      <t xml:space="preserve"> </t>
    </r>
  </si>
  <si>
    <r>
      <t>11 kV VCB</t>
    </r>
    <r>
      <rPr>
        <sz val="10"/>
        <rFont val="Verdana"/>
        <family val="2"/>
      </rPr>
      <t xml:space="preserve"> without control panel &amp; CT's.</t>
    </r>
  </si>
  <si>
    <t>Feeder Control (Static Relays)</t>
  </si>
  <si>
    <t>Transformer Control (Static Relays)</t>
  </si>
  <si>
    <t>2 Feeder Control (Static Relays)</t>
  </si>
  <si>
    <t>1 Transformer+1 Feeder (Static Relays)</t>
  </si>
  <si>
    <t>Meter modernisation- Replacing the existing meters with electronic meters which are highly capable of improving billing efficiency.</t>
  </si>
  <si>
    <t>Box spanners (of size 32Af, 27A/F, 30 A/F&amp; tommy Bar)</t>
  </si>
  <si>
    <t>Transil oil Dielectric Breakdown testkit</t>
  </si>
  <si>
    <t>Tong tester</t>
  </si>
  <si>
    <t>D.C.Volt meter range - 3V to + 5V</t>
  </si>
  <si>
    <t>M.S.Pipe 200 mm dia with collars</t>
  </si>
  <si>
    <t>River sand</t>
  </si>
  <si>
    <t>Cement in 50 kg bags</t>
  </si>
  <si>
    <t>Bags</t>
  </si>
  <si>
    <t>(v) G.I. Nuts and bolts 16x65 mm</t>
  </si>
  <si>
    <t>Bimetallic clamp for Distribution Transformer (HT)</t>
  </si>
  <si>
    <t>Bimetallic clamp for Distribution Transformer (LT)</t>
  </si>
  <si>
    <t>T-Clamp for Dog Conductor.</t>
  </si>
  <si>
    <t>T-Clamp for Raccoon Conductor.</t>
  </si>
  <si>
    <t>T-Clamp for Panther Conductor.</t>
  </si>
  <si>
    <t>Jointing sleeves for Weasel, Squirrel &amp; Rabbit Conductor.</t>
  </si>
  <si>
    <t>Jointing sleeves for Panther Conductor.</t>
  </si>
  <si>
    <t>Set.</t>
  </si>
  <si>
    <t>Red Oxide Paint</t>
  </si>
  <si>
    <t xml:space="preserve">Rate  </t>
  </si>
  <si>
    <t xml:space="preserve">Jointing Sleeves (suitable for 100 Sqmm, Al. Eq. ACSR cond.)   </t>
  </si>
  <si>
    <t>Barbed Wire (@ 2 Kg/Pole)</t>
  </si>
  <si>
    <t>Barbed wire (@ 2 Kg/Pole)</t>
  </si>
  <si>
    <t>(iii) Stay Clamp For "H" Beam</t>
  </si>
  <si>
    <t>(iv) Stay Wire 7/8 SWG @ 8.5 kg/  stay</t>
  </si>
  <si>
    <t>Schedule A-2 (B) is to be supplemented with every 1.0 Km of 33 kV line.</t>
  </si>
  <si>
    <t>(ii) Stay Clamp for "H" Beam</t>
  </si>
  <si>
    <t>(iii) Stay Clamp for "H" Beam</t>
  </si>
  <si>
    <t>T.W. plate 300x300x25 mm with 20 mm dia holes at the corners and coated with two coats of varnish on one side/SMC board</t>
  </si>
  <si>
    <t>Tension hardware suitable for Panther Conductor.</t>
  </si>
  <si>
    <t>For 90 x 75 mm insulators</t>
  </si>
  <si>
    <t>For 65 x 50 mm insulators</t>
  </si>
  <si>
    <t>GI Pin for 11 kV Pin insulator.</t>
  </si>
  <si>
    <t>GI Pin for 33 kV Pin insulator.</t>
  </si>
  <si>
    <t>(i) MS Nuts and bolts 16x40 mm</t>
  </si>
  <si>
    <t>(ii) MS Nuts and bolts 16x65 mm</t>
  </si>
  <si>
    <t>(iii) MS Nuts and bolts 16x90 mm</t>
  </si>
  <si>
    <t>(iv) MS Nuts and bolts 16x160 mm</t>
  </si>
  <si>
    <t xml:space="preserve">25 mm dia 2500 mm long GI rod earth electrodes </t>
  </si>
  <si>
    <t xml:space="preserve">Transport charges upto 50 Km lead from area stores to construction site for addl. lead refer Schedule T-2. </t>
  </si>
  <si>
    <t>Total cost: -</t>
  </si>
  <si>
    <t>Total cost (Rounded off): -</t>
  </si>
  <si>
    <t>Note :-</t>
  </si>
  <si>
    <t>COST SCHEDULE  B-5</t>
  </si>
  <si>
    <t>33 kV  OUT DOOR  YARD  EXTENSION  FOR  ADDITIONAL  BAY.</t>
  </si>
  <si>
    <t>Qnty.</t>
  </si>
  <si>
    <t xml:space="preserve"> H Beam 152x152 mm 37.1 kg/mtr 8 Mtr i.e. 296.8 kg/pole x 2 Nos = 593.6 Kgs</t>
  </si>
  <si>
    <t>MS DC cross arm (100x50 mm), 5.2 Mtr. long for bus bar</t>
  </si>
  <si>
    <t>Strain set with hardware suitable for 80 Sqmm ACSR conductor for 33 kV bus(3 disc insulator per disc)</t>
  </si>
  <si>
    <t>(ii) 33 kV Hardware</t>
  </si>
  <si>
    <t xml:space="preserve">33 kV Isolator (600 A.) with earth switch  </t>
  </si>
  <si>
    <t xml:space="preserve">Terminal clamp for isolators   </t>
  </si>
  <si>
    <t xml:space="preserve">T-clamps for bus jumper  </t>
  </si>
  <si>
    <t>ACSR 100 Sqmm Al. Eq. Conductor</t>
  </si>
  <si>
    <t>Concreting of structure (1:3:6)</t>
  </si>
  <si>
    <t>11 kV VCB for feeder protection with CTs &amp; panel.</t>
  </si>
  <si>
    <t>(i) 11 kV VCB with Relay &amp; Control Panel</t>
  </si>
  <si>
    <t>7131941762+7131960008=7131960497</t>
  </si>
  <si>
    <t>(ii) 11 kV CT's 200-100/5 Amps</t>
  </si>
  <si>
    <t>H.R.C. FUSE UNITS: -200 Amps.</t>
  </si>
  <si>
    <t>H.R.C. FUSE UNITS: -300 Amps.</t>
  </si>
  <si>
    <t>F WIRE TINNED COPER 22 SWG24 AMP.RATING</t>
  </si>
  <si>
    <t>FUSE WIRE TINNED COPPER 20 SWG FOR 34 AM</t>
  </si>
  <si>
    <t>FUSE WIRE TINNED COPPER 18 SWG FOR 45 AM</t>
  </si>
  <si>
    <t>FUSE WIRE TINNED COPPER 16 SWG FOR 73 AM</t>
  </si>
  <si>
    <t>FUSE WIRE TINNED COPPER 14 SWG FOR 102 A</t>
  </si>
  <si>
    <t>FUSE WIRE TINNED COPPER 12 SWG</t>
  </si>
  <si>
    <t>(2) In case of non-availability of H-Beam for structure double welded RS Joist may be used and cost should be taken on actual material used</t>
  </si>
  <si>
    <t>Grounding Sticks (Earthing Rods)</t>
  </si>
  <si>
    <t>Panel lndication lamps</t>
  </si>
  <si>
    <t>COST SCHEDULE   A-9</t>
  </si>
  <si>
    <t>33 kV under ground cable Road crossing for 50 mtr length, under 2.5 mtr deep for ground level single feeder line</t>
  </si>
  <si>
    <t>A-6 (A)</t>
  </si>
  <si>
    <t>50 Mtr</t>
  </si>
  <si>
    <t>(K)</t>
  </si>
  <si>
    <t>11 kV line on H-Beam / PCC Pole with Rabbit conductor</t>
  </si>
  <si>
    <t>C-3(i)</t>
  </si>
  <si>
    <t>C-3(ii)</t>
  </si>
  <si>
    <t>C-4(i)</t>
  </si>
  <si>
    <t>C-4(ii)</t>
  </si>
  <si>
    <t xml:space="preserve">11 kV line on PCC pole </t>
  </si>
  <si>
    <t xml:space="preserve">11 kV MEDP Structure on H-Beam Pole </t>
  </si>
  <si>
    <t>33 kV Four Pole structure on PCC / H-Beam Pole</t>
  </si>
  <si>
    <t>Ring Spanners  (6x7,8x9, 10x11,12x13,14x15,16x17,18x19, 20x22x,21x23,24x27,25x28,30x32)</t>
  </si>
  <si>
    <t xml:space="preserve">Tube Spanners </t>
  </si>
  <si>
    <t>Pipe Wrench 24 inches size</t>
  </si>
  <si>
    <t>Pipe Wrench 18 inches size</t>
  </si>
  <si>
    <t xml:space="preserve">3.15 MVA, 33/11 kV S/s expandable to 2 x 3.15 MVA with control room </t>
  </si>
  <si>
    <t>B-1(ii)</t>
  </si>
  <si>
    <t xml:space="preserve">5 MVA, 33/11 kV S/s expandable to 2 x 5 MVA with control room </t>
  </si>
  <si>
    <t>B-1(iii)</t>
  </si>
  <si>
    <t>11 kV Polymer Disc insulator</t>
  </si>
  <si>
    <t>Bimetallic Clamps for Transformer &amp; auto recloser</t>
  </si>
  <si>
    <t>Earlier - WBM Road (3.75 Mtr wide)</t>
  </si>
  <si>
    <t>Cement Concrete Road (4 Mtr wide)</t>
  </si>
  <si>
    <t>Conversion of 1 Km 3 Phase 5 wire LT line into 11 kV line</t>
  </si>
  <si>
    <t>D-13</t>
  </si>
  <si>
    <t>(T)</t>
  </si>
  <si>
    <t>Last span cabling of 33 kV H.T. Connection</t>
  </si>
  <si>
    <t>A-7</t>
  </si>
  <si>
    <t>With 3x185 sq.mm AB XLPE Cable</t>
  </si>
  <si>
    <t>A-7(i)</t>
  </si>
  <si>
    <t>With 3x240 sq.mm AB XLPE Cable</t>
  </si>
  <si>
    <t>A-7(ii)</t>
  </si>
  <si>
    <t>(L)</t>
  </si>
  <si>
    <t>A-8 (i)</t>
  </si>
  <si>
    <t>A-8 (ii)</t>
  </si>
  <si>
    <t xml:space="preserve"> H-Beam 152x152 mm 37.1 kg/mtr 8 Mtr i.e. 296.8 kg/pole x 2 No = 593.6 Kgs                         </t>
  </si>
  <si>
    <t xml:space="preserve">11 Mtr long 152 x 152 mm H-Beam (37.1 Kg/ Mtr weight) i.e. 37.1 x 11 mtr = 408.1 kg/pole x 2 Nos = 816.2 Kgs. </t>
  </si>
  <si>
    <t>HDPE Pipe 200 mm ID; 240 mm OD; 6 Mtr long</t>
  </si>
  <si>
    <t>Cost per 60 Mtr for non guaranteed works</t>
  </si>
  <si>
    <t xml:space="preserve">Cost per 60 Mtr for non guaranteed works (Rounded off ) </t>
  </si>
  <si>
    <t>Qty earlier was 12 Mtr.</t>
  </si>
  <si>
    <t>Earlier --Caping of HDPE Pipe on both end of pipe with Concreting and Bricks work</t>
  </si>
  <si>
    <t>Aluminium conductor Raccoon for jumpering of L.A.</t>
  </si>
  <si>
    <t xml:space="preserve">Transport charges upto 50 Kms average lead from area stores to construction camp including site Transport (Trans. Schedule T-1) </t>
  </si>
  <si>
    <t>G.I. bend 200 mm</t>
  </si>
  <si>
    <r>
      <t>Fire fighting equipments  CO</t>
    </r>
    <r>
      <rPr>
        <vertAlign val="subscript"/>
        <sz val="10"/>
        <rFont val="Verdana"/>
        <family val="2"/>
      </rPr>
      <t>2</t>
    </r>
    <r>
      <rPr>
        <sz val="10"/>
        <rFont val="Verdana"/>
        <family val="2"/>
      </rPr>
      <t xml:space="preserve"> fire extinguisher of 2 Kg Capacity)  </t>
    </r>
  </si>
  <si>
    <t>CURRENT TRANSFORMER 100-50/1/1A SUITABLE</t>
  </si>
  <si>
    <t>C.T. 132KV 200-100/1/1A SUITABLE</t>
  </si>
  <si>
    <t>CURRENT X-MER 300-150/1/1A - 132KV</t>
  </si>
  <si>
    <t>OIL IMM 3 PH CTPT UNITS 11 KV 7.5/5 A</t>
  </si>
  <si>
    <t>Spring loaded distribution box for service connection with stainless steel buckle.</t>
  </si>
  <si>
    <t>Piercing connector for services 16-50 Sq. mm Tap off 2.5-16 Sq. mm</t>
  </si>
  <si>
    <t>Piercing connector suitable for 16 Sq.mm-95 Sq.mm AB Cable-Service connections</t>
  </si>
  <si>
    <t>Piercing connector for Main 16-50 Sq. mm Tap off 16-50 Sq. mm.</t>
  </si>
  <si>
    <t>Piercing connector suitable for 25 Sq.mm-95 Sq.mm AB Cable-main to main connections</t>
  </si>
  <si>
    <t>Piercing connector suitable for 50 Sq.mm-150 Sq.mm AB Cable-main to main connections</t>
  </si>
  <si>
    <t>33/11 kV Power Transformer</t>
  </si>
  <si>
    <t>3 phase, 5 wire LT line on 140 Kg, 8.0 Mtr long PCC poles with following conductors</t>
  </si>
  <si>
    <t>4 Rabbit + 1 Squirrel</t>
  </si>
  <si>
    <t>D-1(I)</t>
  </si>
  <si>
    <t>3 Rabbit + 2 Squirrel</t>
  </si>
  <si>
    <t>D-1(II)</t>
  </si>
  <si>
    <t>4 Weasel + 1 Squirrel</t>
  </si>
  <si>
    <t>D-1(III)</t>
  </si>
  <si>
    <t xml:space="preserve">Earthing of Sub-station </t>
  </si>
  <si>
    <t xml:space="preserve">(i) G.I. Pipe of 40 mm dia. 3.04 Mtr. long with 12 mm hole at 18 places at equal distance trapered casing at lower end.  </t>
  </si>
  <si>
    <t>(iii) G.I. Wire 8 SWG</t>
  </si>
  <si>
    <t>(iv) G.I. Nuts and bolts 16x40 mm</t>
  </si>
  <si>
    <t>(vi) G.I. Spring washers</t>
  </si>
  <si>
    <t>Total of 02 : -</t>
  </si>
  <si>
    <t>Services On Earthing of sub-station.</t>
  </si>
  <si>
    <t>Labour charges as per Schedule No BL-9</t>
  </si>
  <si>
    <r>
      <t xml:space="preserve">Total cost including </t>
    </r>
    <r>
      <rPr>
        <b/>
        <sz val="10"/>
        <rFont val="Arial"/>
        <family val="2"/>
      </rPr>
      <t>Civil Works</t>
    </r>
    <r>
      <rPr>
        <sz val="10"/>
        <rFont val="Arial"/>
        <family val="0"/>
      </rPr>
      <t>.</t>
    </r>
  </si>
  <si>
    <t>Total Cost (Round off) : -</t>
  </si>
  <si>
    <t>T.W. Meter Board, 300x300x75 mm, coated with varnish/SMC board</t>
  </si>
  <si>
    <t>Roll</t>
  </si>
  <si>
    <t>Schedule for 33 kV Underground Cable crossing under Railway Track / Road for 60 Mtr. Long Corridor / Route Length of HDPE Pipe, under 2.5 Mtr. Deep from Ground Level Single Feeder Line Using Open Trench Method.</t>
  </si>
  <si>
    <t>A-10 (i)</t>
  </si>
  <si>
    <t>A-10(i)</t>
  </si>
  <si>
    <t>A-10(ii)</t>
  </si>
  <si>
    <t>Raccoon ACSR Conductor (80 Sqmm, Al. Eq) with 3% sag</t>
  </si>
  <si>
    <t>--</t>
  </si>
  <si>
    <t>Cmt</t>
  </si>
  <si>
    <t xml:space="preserve">Red Oxide Paint </t>
  </si>
  <si>
    <t>Ltr</t>
  </si>
  <si>
    <t xml:space="preserve">Aluminium Paint </t>
  </si>
  <si>
    <t xml:space="preserve">Danger Boards </t>
  </si>
  <si>
    <t>Kg</t>
  </si>
  <si>
    <t>M.S. Nuts and Bolts</t>
  </si>
  <si>
    <t>ii</t>
  </si>
  <si>
    <t xml:space="preserve">Note --   Appropriate size of termination kit and 33 kV AB XLPE Cable may be used for S.No 04 and 05 acccording to the load of HT connection. </t>
  </si>
  <si>
    <t>60 Kg/Mtr 13.0 Mtr long Rails (780 Kg each) x 10 No = 7800 Kgs</t>
  </si>
  <si>
    <t>1</t>
  </si>
  <si>
    <t>2</t>
  </si>
  <si>
    <t>3</t>
  </si>
  <si>
    <t>6</t>
  </si>
  <si>
    <t>Cmt.  (1:3:6)</t>
  </si>
  <si>
    <t>Red oxide paint</t>
  </si>
  <si>
    <t>Aluminium paint</t>
  </si>
  <si>
    <t>M.S.Nuts and Bolts</t>
  </si>
  <si>
    <t>Cost per D.P.</t>
  </si>
  <si>
    <t>PCC Pole 280 kg 9.1 Mtr. Long</t>
  </si>
  <si>
    <t>280 Kg.,9.1 Mtrs. long PCC Poles</t>
  </si>
  <si>
    <t xml:space="preserve">DC cross arm 3.8 Mtr. Channel of 100x50 mm  </t>
  </si>
  <si>
    <t>SPRING LOADED DIST. BOX FOR SERVICE CONN</t>
  </si>
  <si>
    <t>DISTRIBUTION BOX FOR MCCB TYPE 63 KVA TR</t>
  </si>
  <si>
    <t>DISTRIBUTION BOX FOR MSEB TYPE 100 KVA T</t>
  </si>
  <si>
    <t>DISTRIBUTION BOX FOR 200KVA TRANSFORMER</t>
  </si>
  <si>
    <t>DISTRIBUTION BOX FOR 315 KVA XMER WITH F</t>
  </si>
  <si>
    <t>33KV CONTROL &amp; RELAY PANEL- FEEDER CONTR</t>
  </si>
  <si>
    <t>SCHEDULE  FOR  AUGMENTATION  OF  1 kM  OF  33 kV LINE  FROM  RACCOON  TO  DOG  CONDUCTOR</t>
  </si>
  <si>
    <t>SCHEDULE  FOR  33 kV  UNDERGROUND CABLE  ROAD  CROSSING FOR 50 MTR. LENGTH, UNDER 2.5 MTR. DEEP FROM GROUND LEVEL SINGLE FEEDER LINE</t>
  </si>
  <si>
    <t>End terminating jointing kit for 240 sqmm XLPE cable</t>
  </si>
  <si>
    <t>33 kV XLPE 240 sqmm 3 core UG Cable</t>
  </si>
  <si>
    <t>C-13(III)</t>
  </si>
  <si>
    <t>Plinth mounted 11/.4 kV Outdoor Sub-station</t>
  </si>
  <si>
    <t>C-14(I)</t>
  </si>
  <si>
    <t>C-14(II)</t>
  </si>
  <si>
    <t>C-14(III)</t>
  </si>
  <si>
    <t>PART-VI,  L.T. LINES</t>
  </si>
  <si>
    <t>COMPARATIVE STATEMENT OF RATES FROM YEAR  2015-16 to 2016-17</t>
  </si>
  <si>
    <t xml:space="preserve">33 kV AB Switch </t>
  </si>
  <si>
    <t>Each</t>
  </si>
  <si>
    <t>Last span cabling of 33 kV line using Covered  Conductor of size</t>
  </si>
  <si>
    <t xml:space="preserve">70 sq.mm (207 Amp) </t>
  </si>
  <si>
    <t>99 sq.mm (258 Amp)</t>
  </si>
  <si>
    <t>A-9 (i)</t>
  </si>
  <si>
    <t>A-9 (ii)</t>
  </si>
  <si>
    <t>33 kV VCB with control panel &amp; CT</t>
  </si>
  <si>
    <t>33 kV VCB (without CT's &amp; Panel)</t>
  </si>
  <si>
    <t>33 kV Control Panel</t>
  </si>
  <si>
    <t>33 kV CT's 300-150/5 Amps</t>
  </si>
  <si>
    <t>Foundation of 33 kV breaker</t>
  </si>
  <si>
    <t>Cement</t>
  </si>
  <si>
    <t xml:space="preserve">Control cabling </t>
  </si>
  <si>
    <t xml:space="preserve">Terminal clamps  </t>
  </si>
  <si>
    <t xml:space="preserve">Tee clamp for jumper   </t>
  </si>
  <si>
    <t>Services on Concreting for foundation of VCB.</t>
  </si>
  <si>
    <t>5 Squirrel</t>
  </si>
  <si>
    <t>D-1(V)</t>
  </si>
  <si>
    <t>3 phase, 4 wire LT line on 140 Kg, 8.0 Mtr long PCC poles with following conductors</t>
  </si>
  <si>
    <t>3 Rabbit + 1 Squirrel</t>
  </si>
  <si>
    <t>D-2(I)</t>
  </si>
  <si>
    <t>3 Weasel + 1 Squirrel</t>
  </si>
  <si>
    <t>D-2(II)</t>
  </si>
  <si>
    <t>4 Squirrel</t>
  </si>
  <si>
    <t>D-2(III)</t>
  </si>
  <si>
    <t>1 phase, 3 wire LT line on 140 Kg, 8.0 Mtr long PCC poles with following conductors</t>
  </si>
  <si>
    <t>3 Weasel + 2 Squirrel</t>
  </si>
  <si>
    <t>D-1(IV)</t>
  </si>
  <si>
    <t>CT/PT UNIT 11KV/110 V 10/5 A OIL IMMERSE</t>
  </si>
  <si>
    <t>OIL IMM 3 PH CTPT UNITS 11 KV 15/5 A</t>
  </si>
  <si>
    <t>OIL IMM 3 PH CTPT UNITS 11 KV 300-150/5A</t>
  </si>
  <si>
    <t>OIL IMM 3 PH CTPT UNITS 11 KV 25/5 A</t>
  </si>
  <si>
    <t>OIL IMM 3 PH CTPT UNITS 11 KV 75/5 A</t>
  </si>
  <si>
    <t>OIL IMM 3 PH CTPT UNITS 11 KV 200-100/5A</t>
  </si>
  <si>
    <t>OIL IMMERSED 3 PH CTPT UNITS-11 KV 50/5A</t>
  </si>
  <si>
    <t>OIL IMM 3 PH CTPT UNITS 33 KV - 20/5 A</t>
  </si>
  <si>
    <t>OIL IMM 3 PH CTPT UNITS 33 KV-200-100/5A</t>
  </si>
  <si>
    <t>OIL IMM 3 PH CTPT UNITS 33 KV - 5/5A</t>
  </si>
  <si>
    <t>OIL IMM 3 PH CTPT UNITS 33 KV - 10/5 A</t>
  </si>
  <si>
    <t>33 kV Polymer Lightning Arrestor</t>
  </si>
  <si>
    <t>11 kV Polymer Lightning Arrestor</t>
  </si>
  <si>
    <t>33 kV Polymer Lightning Arrestors</t>
  </si>
  <si>
    <t>Earlier 33 kV Gapless type LA used</t>
  </si>
  <si>
    <t>(iii) 60 Kg/Mtr 13.0 Mtr long Rail Pole (780 Kg each) x 2 No = 1560 Kgs</t>
  </si>
  <si>
    <t>RUBBER HAND GLOVES</t>
  </si>
  <si>
    <t>CO2 TYPE EXTINGUISHER ,2 KG CAPACITY</t>
  </si>
  <si>
    <t>RAIN COATS WITH HOODS</t>
  </si>
  <si>
    <t>GUM BOOTS</t>
  </si>
  <si>
    <t>SILICA GEL</t>
  </si>
  <si>
    <t>(v) MS Nuts and bolts 16x200 mm</t>
  </si>
  <si>
    <t>(vi) MS Nuts and bolts 16x250 mm</t>
  </si>
  <si>
    <t xml:space="preserve">Furniture </t>
  </si>
  <si>
    <t>(i) Table 4'x2.5'</t>
  </si>
  <si>
    <t>(ii) Chair</t>
  </si>
  <si>
    <t>(iii) Small Steel Almirah 50''</t>
  </si>
  <si>
    <t xml:space="preserve"> Fire fighting equipments </t>
  </si>
  <si>
    <t xml:space="preserve">(i) Fire fighting equipments (dry chemical powder type 5 Kg capacity) </t>
  </si>
  <si>
    <r>
      <t>(ii) Fire fighting equipments CO</t>
    </r>
    <r>
      <rPr>
        <vertAlign val="subscript"/>
        <sz val="11"/>
        <rFont val="Arial"/>
        <family val="2"/>
      </rPr>
      <t>2</t>
    </r>
    <r>
      <rPr>
        <sz val="11"/>
        <rFont val="Arial"/>
        <family val="2"/>
      </rPr>
      <t xml:space="preserve"> fire extinguisher of 2 Kg Capacity)  </t>
    </r>
  </si>
  <si>
    <t xml:space="preserve">11 Mtr long 152 x 152 mm H-Beam (37.1 Kg/ Mtr weight) i.e.  37.1x11 mtr =408.1 Kg/pole x 8 Nos = 3264.8 Kgs </t>
  </si>
  <si>
    <t>MS DC Cross arm (100 x 50 x 6 mm Channel) 5.2 Mtr long Set</t>
  </si>
  <si>
    <t>MS DC Cross arm (100 x 50 x 6 mm Channel) 3.8 Mtr long Set</t>
  </si>
  <si>
    <t>Distribution Box on existing LT Lines for Service Connections.</t>
  </si>
  <si>
    <t>Single phase Distn. Box for 20 Connections</t>
  </si>
  <si>
    <t>D-14 (i)</t>
  </si>
  <si>
    <t>Three phase Distn. Box for 06 Connections</t>
  </si>
  <si>
    <t>D-14 (ii)</t>
  </si>
  <si>
    <t>(U)</t>
  </si>
  <si>
    <t>1 phase 2 Wire line on 140 kg 8.0 Mtr.long PCC poles with 1100 V grade AB XLPE Cable 1x16+1x25 sq.mm.</t>
  </si>
  <si>
    <t xml:space="preserve">D-15 </t>
  </si>
  <si>
    <t>PART-VII,  METERING</t>
  </si>
  <si>
    <t>Metering of 11/0.4 kV Distribution X'mer</t>
  </si>
  <si>
    <t>E-1(I)</t>
  </si>
  <si>
    <t>E-1(II)</t>
  </si>
  <si>
    <t>E-1(III)</t>
  </si>
  <si>
    <t>E-1(IV)</t>
  </si>
  <si>
    <t>***</t>
  </si>
  <si>
    <t>Horizontal Directional Drilling (HDD) Technique</t>
  </si>
  <si>
    <t>Total Cost (Rs In lakhs)</t>
  </si>
  <si>
    <t>(iii) Yard metalling 15 m x15 m x 0.2 m</t>
  </si>
  <si>
    <t>Sub-total - 2</t>
  </si>
  <si>
    <t>STRUCTURE AND BUS BAR ARRANGEMENTS: -</t>
  </si>
  <si>
    <t xml:space="preserve">8 Mtr long 152 x 152 mm H-Beam (37.1 Kg/ Mtr weight) ie 37.1x8 mtr =296.8 kg/pole x 10 Nos = 2968 Kgs. </t>
  </si>
  <si>
    <t xml:space="preserve">Cost </t>
  </si>
  <si>
    <t>Cost per Unit</t>
  </si>
  <si>
    <t>Strain Plate (65x8 mm)</t>
  </si>
  <si>
    <t>Sub-total - 4</t>
  </si>
  <si>
    <t>Total including Civil works</t>
  </si>
  <si>
    <t>Total excluding Civil works</t>
  </si>
  <si>
    <t>Incidental Charges @ 9 % on "6" above</t>
  </si>
  <si>
    <t>(i)</t>
  </si>
  <si>
    <t xml:space="preserve">Services on S/s earthing </t>
  </si>
  <si>
    <t>LT 3 phase 5 Wire Aerial Bunched Cable of Size 3X50+1X25+1x35</t>
  </si>
  <si>
    <t>LT 3 phase 5 Wire Aerial Bunched Cable of Size 3X70+1x16+1x50</t>
  </si>
  <si>
    <t xml:space="preserve"> 11 kV CT's 300-150/5 Amps</t>
  </si>
  <si>
    <t xml:space="preserve">(iv) </t>
  </si>
  <si>
    <t xml:space="preserve">(i) G.I. Wire 6 SWG </t>
  </si>
  <si>
    <t xml:space="preserve">(ii) G.I. Wire 8 SWG </t>
  </si>
  <si>
    <t>Cement @ 208 kg/ Cmt</t>
  </si>
  <si>
    <r>
      <t xml:space="preserve">Binding wire and tape                 </t>
    </r>
    <r>
      <rPr>
        <sz val="18"/>
        <rFont val="Arial"/>
        <family val="2"/>
      </rPr>
      <t xml:space="preserve">  </t>
    </r>
  </si>
  <si>
    <t xml:space="preserve">Jointing Sleeves suitable ( for 80 Sqmm, Al.Eq. ACSR cond.)   </t>
  </si>
  <si>
    <t xml:space="preserve">Binding wire and tape    </t>
  </si>
  <si>
    <t xml:space="preserve"> ACSR  Panther Conductor with 5% sag  </t>
  </si>
  <si>
    <t xml:space="preserve">Jointing Sleeves suitable for Panther conductor  </t>
  </si>
  <si>
    <r>
      <t xml:space="preserve">Binding Wire &amp; Tape     </t>
    </r>
    <r>
      <rPr>
        <sz val="14"/>
        <rFont val="Arial"/>
        <family val="2"/>
      </rPr>
      <t xml:space="preserve"> </t>
    </r>
    <r>
      <rPr>
        <sz val="10"/>
        <rFont val="Arial"/>
        <family val="0"/>
      </rPr>
      <t xml:space="preserve">  </t>
    </r>
  </si>
  <si>
    <t xml:space="preserve">33 kV Tension Hardware suitable for Panther Conductor   </t>
  </si>
  <si>
    <t xml:space="preserve">33 kV Suspension Hardware suitable for Panther Conductor   </t>
  </si>
  <si>
    <t>Numerical Poly Carbonate seals</t>
  </si>
  <si>
    <t>33 kV Polymer Disc Insulator (45 kN)</t>
  </si>
  <si>
    <t>Grand Total cost (Rs in LAKHS)</t>
  </si>
  <si>
    <t xml:space="preserve">280 Kg; 9.1 Mtr long PCC Pole </t>
  </si>
  <si>
    <t>Mtr</t>
  </si>
  <si>
    <t>kg</t>
  </si>
  <si>
    <t>Stay set 20 mm</t>
  </si>
  <si>
    <t xml:space="preserve"> Guarding</t>
  </si>
  <si>
    <t>This Schedule is to be supplemented with Schedule A-1 &amp; A-3.</t>
  </si>
  <si>
    <t xml:space="preserve">Horizontal &amp; cross bracing 5' centre with set of 4 back clamps </t>
  </si>
  <si>
    <t>Earlier--GI earthing pipe of 40 mm dia 3.04 mtr long, 4 mm thickness 12 mm hole at 18 places at equal distance trapered casing at lower end. *</t>
  </si>
  <si>
    <t xml:space="preserve">Name Changed Earlier - Way leave charges payable to Railway including supervision </t>
  </si>
  <si>
    <r>
      <t xml:space="preserve">      </t>
    </r>
    <r>
      <rPr>
        <b/>
        <u val="single"/>
        <sz val="11"/>
        <rFont val="Arial"/>
        <family val="2"/>
      </rPr>
      <t>( 33 kV SUB-STATION )</t>
    </r>
  </si>
  <si>
    <r>
      <t xml:space="preserve">   </t>
    </r>
    <r>
      <rPr>
        <b/>
        <u val="single"/>
        <sz val="11"/>
        <rFont val="Arial"/>
        <family val="2"/>
      </rPr>
      <t>POWER TRANSFORMERS</t>
    </r>
  </si>
  <si>
    <t>Sundries for meeting out the expenses towards processing fees, submission / approval of drawing using AutoCAD obtaining  permission, from railway / Road constructing authorities including liaisoning work etc.</t>
  </si>
  <si>
    <r>
      <t xml:space="preserve">SCHEDULE FOR 33 kV UNDERGROUND CABLE CROSSING UNDER RAILWAY TRACK / ROAD FOR </t>
    </r>
    <r>
      <rPr>
        <b/>
        <u val="single"/>
        <sz val="12"/>
        <color indexed="10"/>
        <rFont val="Arial"/>
        <family val="2"/>
      </rPr>
      <t>60</t>
    </r>
    <r>
      <rPr>
        <b/>
        <u val="single"/>
        <sz val="12"/>
        <rFont val="Arial"/>
        <family val="2"/>
      </rPr>
      <t xml:space="preserve"> MTR. LONG CORRIDOR / ROUTE LENGTH OF HDPE PIPE, UNDER 2.5 MTR. DEEP FROM GROUND LEVEL SINGLE FEEDER LINE USING OPEN TRENCH METHOD.</t>
    </r>
  </si>
  <si>
    <r>
      <t xml:space="preserve">SCHEDULE FOR 33 kV UNDERGROUND CABLE CROSSING UNDER </t>
    </r>
    <r>
      <rPr>
        <b/>
        <u val="single"/>
        <sz val="12"/>
        <color indexed="14"/>
        <rFont val="Arial"/>
        <family val="2"/>
      </rPr>
      <t>EXISTING</t>
    </r>
    <r>
      <rPr>
        <b/>
        <u val="single"/>
        <sz val="12"/>
        <rFont val="Arial"/>
        <family val="2"/>
      </rPr>
      <t xml:space="preserve"> RAILWAY TRACK / ROAD FOR </t>
    </r>
    <r>
      <rPr>
        <b/>
        <u val="single"/>
        <sz val="12"/>
        <color indexed="10"/>
        <rFont val="Arial"/>
        <family val="2"/>
      </rPr>
      <t>60</t>
    </r>
    <r>
      <rPr>
        <b/>
        <u val="single"/>
        <sz val="12"/>
        <rFont val="Arial"/>
        <family val="2"/>
      </rPr>
      <t xml:space="preserve"> MTR. LONG CORRIDOR / ROUTE LENGTH OF HDPE PIPE, UNDER 2.5 MTR. DEEP FROM GROUND LEVEL SINGLE FEEDER LINE.</t>
    </r>
  </si>
  <si>
    <t>21 (a)</t>
  </si>
  <si>
    <t>(vi) GI Nuts and bolts 16x65 mm</t>
  </si>
  <si>
    <t>(vii) GI Spring washers</t>
  </si>
  <si>
    <t>MS Nuts &amp; Bolts</t>
  </si>
  <si>
    <t xml:space="preserve">33 kV Suspension Hardware suitable for Panther Conductor (3x20=60)     </t>
  </si>
  <si>
    <t>*</t>
  </si>
  <si>
    <t>RM</t>
  </si>
  <si>
    <t>RCC pipe Type NP - 3 (2.5 mtr long)</t>
  </si>
  <si>
    <t>Strain Plate (65x8 mm) for 33 kV</t>
  </si>
  <si>
    <t xml:space="preserve">Back Clamp for Cross Arm </t>
  </si>
  <si>
    <t xml:space="preserve">Fire fighting equipments (dry chemical powder type 5 Kg capacity) </t>
  </si>
  <si>
    <t xml:space="preserve">TOTAL COST </t>
  </si>
  <si>
    <t xml:space="preserve">On 365 Kg 11 Mtrs long PCC poles </t>
  </si>
  <si>
    <t>Additional (Mid Span) Pole for 33 kV Line</t>
  </si>
  <si>
    <t>A-3 (B)(i)</t>
  </si>
  <si>
    <t>A-4 (i)</t>
  </si>
  <si>
    <t>Using H-Beam 152x152 mm, 37.1Kg/mtr 13 Mtrs long supports.</t>
  </si>
  <si>
    <t xml:space="preserve">11 kV Line on A.B.Cable </t>
  </si>
  <si>
    <t>Using H-Beam 152x152 mm, 37.1Kg/mtr 11 Mtrs long supports.</t>
  </si>
  <si>
    <t>With 11 kV  3 phase Aerial Bunched Cable 3x35+35 sqmm</t>
  </si>
  <si>
    <t xml:space="preserve">H-Beam 152x152 mm 37.1 Kg/Mtr 13 M (482.3 Kg) / pole x 2 No = 964.6 Kgs </t>
  </si>
  <si>
    <t>33 kV ABC Termination kit 185 sqmm</t>
  </si>
  <si>
    <t>Nos.</t>
  </si>
  <si>
    <t>L.T.Distribution Box for 500 kVA X'mer (800 A, isolator &amp; 12 SP MCCB of 150 A)</t>
  </si>
  <si>
    <t>33 kV Single Phase PT's (Oil filled)</t>
  </si>
  <si>
    <t>132 kV P.T.</t>
  </si>
  <si>
    <t>220 kV P.T.</t>
  </si>
  <si>
    <t>SCHEDULE  FOR  33/11  kV,  3.15 MVA,  1.6 MVA  SUB-STATION  WITH  TWO  BAYS  FOR  OUTGOING  FEEDERS AND  5 MVA  SUB-STATION  WITH  THREE  BAYS  FOR  OUTGOING  FEEDERS  AT  NEW  SITE</t>
  </si>
  <si>
    <t>Proposed 33/11 kV S/s expandable to 2x1.6 MVA with control room</t>
  </si>
  <si>
    <r>
      <t xml:space="preserve"> In case of non-availability of H-Beam for structure double welded RS Joist may be used (1) 8 meter long double welded RS Joist and cost of it shall be taken in place of cost of item No.3 (i) unit rate as Rs 10640.00 &amp; quantity should be 10 Nos for 3.15 &amp; 1.6 MVA and 12 Nos for 5 MVA (2) 7 meter long double welded RS Joist and cost of it shall be taken as in place of cost of item No.3 (ii) unit rate as Rs</t>
    </r>
    <r>
      <rPr>
        <sz val="14"/>
        <rFont val="Rupee"/>
        <family val="0"/>
      </rPr>
      <t xml:space="preserve"> </t>
    </r>
    <r>
      <rPr>
        <sz val="12"/>
        <rFont val="Arial"/>
        <family val="2"/>
      </rPr>
      <t>9372.00 &amp; quantity should be 04 Nos each for 3.15 &amp; 1.6 MVA and 5 MVA</t>
    </r>
  </si>
  <si>
    <t>c</t>
  </si>
  <si>
    <t>2 Core  2.5 Sqmm. (unarmoured)</t>
  </si>
  <si>
    <t>xxiv</t>
  </si>
  <si>
    <t xml:space="preserve">Tee Clamp for Dog Conductor  </t>
  </si>
  <si>
    <t>xxv</t>
  </si>
  <si>
    <t xml:space="preserve">Bi-metallic clamps   </t>
  </si>
  <si>
    <t>xxvi</t>
  </si>
  <si>
    <t>Danger Board for 33 kV &amp; 11 kV equipment/ supply pole</t>
  </si>
  <si>
    <t>xxvii</t>
  </si>
  <si>
    <t xml:space="preserve">60 Kg/Mtr 13.0 Mtr long Rails (60*5 = 300 Kg each) </t>
  </si>
  <si>
    <t>xxviii</t>
  </si>
  <si>
    <t>Marshelling Box</t>
  </si>
  <si>
    <t>TRANSFORMER 100KVA 11/0.43KV FOUR STAR</t>
  </si>
  <si>
    <t>TRANSFORMER 200KVA 11/0.4KV FOUR STAR</t>
  </si>
  <si>
    <t>XMER 315KVA 11/0.43KV CEA REG. CU WOUND</t>
  </si>
  <si>
    <t>TRANSFORMER 11/.4KV 5 KVA 1 PHASE</t>
  </si>
  <si>
    <t xml:space="preserve">Cable covering tiles 250x250x40 mm </t>
  </si>
  <si>
    <t>Sand</t>
  </si>
  <si>
    <t>CMT</t>
  </si>
  <si>
    <t xml:space="preserve">Labour Charges for excavation of cable trench beyond the length of HDPE Pipe upto DP Structure </t>
  </si>
  <si>
    <t>xxii</t>
  </si>
  <si>
    <t xml:space="preserve">11 Mtr long 152 x 152 mm H-Beam (37.1 Kg/ Mtr weight) i.e.  37.1x11 mtr =408.1 Kg/pole x 6 Nos = 2448.6 Kgs </t>
  </si>
  <si>
    <t>xxiii</t>
  </si>
  <si>
    <t xml:space="preserve">Control cable </t>
  </si>
  <si>
    <t>a</t>
  </si>
  <si>
    <t>8 Core  2.5 Sqmm. (unarmoured)</t>
  </si>
  <si>
    <t>b</t>
  </si>
  <si>
    <t>4 Core  2.5 Sqmm. (unarmoured)</t>
  </si>
  <si>
    <t>INSTALLATION OF 1.6 MVA  33/11 kV SUB-STATION ON LINE</t>
  </si>
  <si>
    <t>CIVIL WORKS</t>
  </si>
  <si>
    <t>Land</t>
  </si>
  <si>
    <t>Sq Mtr</t>
  </si>
  <si>
    <t>Fencing for Sub-station with barbed wire.</t>
  </si>
  <si>
    <t>Iron gate on RCC column.</t>
  </si>
  <si>
    <t>Total of 01 : -</t>
  </si>
  <si>
    <t>EQUIPMENTS AND BUS BAR ARRANGEMENT</t>
  </si>
  <si>
    <t xml:space="preserve">Power Transformer 1.6 MVA </t>
  </si>
  <si>
    <t>PCC supports 280 Kg; 9.0 Mtr. long</t>
  </si>
  <si>
    <t xml:space="preserve">33 kV "V" cross arm </t>
  </si>
  <si>
    <t>(i) Cross arm clamp</t>
  </si>
  <si>
    <t>TRANSFORMER 33/11KV 3.15 MVA POWER</t>
  </si>
  <si>
    <t>TRANSFORMER 33/11KV 5 MVA POWER</t>
  </si>
  <si>
    <t xml:space="preserve">2.6 cmt for H-Beam and 2.2 Cmt for PCC Pole </t>
  </si>
  <si>
    <t>Concreting of supports @ 0.6 Cmt. Per pole for H-Beam ; 0.5 Cmt Per pole for PCC Pole and @ 0.05 Cmt per pole for base padding for PCC /   H-Beam pole.</t>
  </si>
  <si>
    <t>JOINTING SLEEVE FOR RACCOON CONDUCTOR</t>
  </si>
  <si>
    <t>JOINTING SLEEVE FOR DOG CONDUCTOR</t>
  </si>
  <si>
    <t>ACSR CONDUCTOR 0.02 sqmm(20 Sqmm Al.Eq)</t>
  </si>
  <si>
    <t>1 Rabbit + 1 Weasel + 1 Squirrel</t>
  </si>
  <si>
    <t>D-3(I)</t>
  </si>
  <si>
    <t>2 Weasel + 1 Squirrel</t>
  </si>
  <si>
    <t>D-3(II)</t>
  </si>
  <si>
    <t>3 Squirrel</t>
  </si>
  <si>
    <t>D-3(III)</t>
  </si>
  <si>
    <t>AB Switch with complete fitting 11 KV</t>
  </si>
  <si>
    <t>AB SWITCH WITH COMPLETE FITTING. 33 KV</t>
  </si>
  <si>
    <t>DO fuse units 11KV</t>
  </si>
  <si>
    <t>D.O. FUSE UNITS 33 KV</t>
  </si>
  <si>
    <t>ISOLATORS COMPLETE SET11 KV; 600 Amps.</t>
  </si>
  <si>
    <t>33 KV Isolator 800A without earth switch</t>
  </si>
  <si>
    <t>METER MVAR 50-0-50 32 CTR-400/1,PTR-132</t>
  </si>
  <si>
    <t>MOULDED CASE CIRCUIT BREAKER 250/300A</t>
  </si>
  <si>
    <t>11 KV VCB without control panel &amp; CT's.</t>
  </si>
  <si>
    <t>33KV VCB FOR 30 VOLT DC</t>
  </si>
  <si>
    <t>LT AB CABLEB 3X16+1X25 SQMM</t>
  </si>
  <si>
    <t>LT AB CABLEB 3X25+1X25 SQMM</t>
  </si>
  <si>
    <t>33KV 3 CORE XLPE UG CABLE 3X 240SQMM</t>
  </si>
  <si>
    <t>11KV 3 CORE XLPE UG CABLE 95 SQMM</t>
  </si>
  <si>
    <t>11KV 3 CORE XLPE UG CABLE 120 SQMM</t>
  </si>
  <si>
    <t>11KV 3 CORE XLPE UG CABLE 240 SQMM</t>
  </si>
  <si>
    <t>11KV 3 CORE XLPE UG CABLE 400 SQMM</t>
  </si>
  <si>
    <t>CONTROL CABLE COP 2CORE 2.5SQMM PVC/PVC</t>
  </si>
  <si>
    <t>CONTROL CABLE COP 4CORE 2.5SQMM PVC/PVC</t>
  </si>
  <si>
    <t>CONTROL CABLE COP 8 CORE 2.5 SQ MM PVC/P</t>
  </si>
  <si>
    <t>Per Km</t>
  </si>
  <si>
    <t>A-1(ii)</t>
  </si>
  <si>
    <t xml:space="preserve">On H-Beam 152 x 152 mm 37.1 Kg/ Mtr 13 Mtr long </t>
  </si>
  <si>
    <t>A-1(iii)</t>
  </si>
  <si>
    <t>(B)</t>
  </si>
  <si>
    <t>A-2 (A)</t>
  </si>
  <si>
    <t>A-2 (A) (i)</t>
  </si>
  <si>
    <t>H-Beam Pole</t>
  </si>
  <si>
    <t>A-2 (A) (ii)</t>
  </si>
  <si>
    <t>(C)</t>
  </si>
  <si>
    <t>280 Kg 9.1 Mtrs long PCC poles</t>
  </si>
  <si>
    <t>A-2 (B)(i)</t>
  </si>
  <si>
    <t>A-2 (B)(ii)</t>
  </si>
  <si>
    <t>37.1 Kg /Mtrs 13 Mtrs long H-Beam supports</t>
  </si>
  <si>
    <t>A-2 (B)(iii)</t>
  </si>
  <si>
    <t>(D)</t>
  </si>
  <si>
    <t>GI earthing pipe of 40 mm dia 3.04 mtr long with 12 mm hole at 18 places at equal distance trapered casing at lower end .</t>
  </si>
  <si>
    <t>Single phase AB switch complete.</t>
  </si>
  <si>
    <t>Not Procured</t>
  </si>
  <si>
    <t>11 kV ABC-T Jointing kit 35-70 sqmm</t>
  </si>
  <si>
    <t>11 kV ABC-T Jointing kit 95-120 sqmm</t>
  </si>
  <si>
    <t>Section Suspension Assembly (Suitable for all size cable)</t>
  </si>
  <si>
    <t>C-7(B-1) B (III)</t>
  </si>
  <si>
    <t>200 kVA Transformer</t>
  </si>
  <si>
    <t>C-7(B-1) B (IV)</t>
  </si>
  <si>
    <t>315 kVA Transformer</t>
  </si>
  <si>
    <t>C-7(B-1) B (V)</t>
  </si>
  <si>
    <t>(A-2)</t>
  </si>
  <si>
    <t>C-7(A-2)(I)</t>
  </si>
  <si>
    <t>Concreting of H-Beam supports @ 0.6 cmt. Per pole and @ 0.3 Cmt per stay and @ 0.05 cmt per pole for base padding for PCC / H- Beam pole.</t>
  </si>
  <si>
    <t>11/0.4 kV Out-door type Transformer Sub-station using 3.5 Core PVC cable.</t>
  </si>
  <si>
    <t>200 kVA on 175 x 85 mm, 9.0 Mtr long reinforced R.S. Joist.</t>
  </si>
  <si>
    <t>11/0.4 kV Out-door type Transformer sub-station using 1 Core PVC cable.</t>
  </si>
  <si>
    <t>11 kV isolator, 600 A</t>
  </si>
  <si>
    <r>
      <t>H.T. STATIC TRIVECTOR METERS</t>
    </r>
    <r>
      <rPr>
        <b/>
        <sz val="10"/>
        <rFont val="Arial"/>
        <family val="2"/>
      </rPr>
      <t xml:space="preserve"> </t>
    </r>
  </si>
  <si>
    <t>33 kV AB switch</t>
  </si>
  <si>
    <t>STRUCTURE AND BUS BAR ARRANGEMENT</t>
  </si>
  <si>
    <t>DO fuse supporting structure set on 7 Mtr long H- Beam 37.1 kg/mtr  33 kV &amp; 11 kV side (2 No. each side)  i.e. 37.1 kg x 7 = 259.7 kg/pole x 4 Nos = 1038.8 Kgs</t>
  </si>
  <si>
    <t>33 kV additional bay ( 02 No H-Beam 152x152 mm 08 mtr long) with 6 Nos, 5.2 Mtr channel</t>
  </si>
  <si>
    <t>Cost of meter replacement of single phase consumer along with shifting of meter outside the premises.</t>
  </si>
  <si>
    <t>E-2</t>
  </si>
  <si>
    <t>With Armoured service cable</t>
  </si>
  <si>
    <t>E-2(i)</t>
  </si>
  <si>
    <t>With Unarmoured service cable</t>
  </si>
  <si>
    <t>E-2(ii)</t>
  </si>
  <si>
    <t>Cost of meter replacement of three phase consumer along with shifting of meter outside the premises.</t>
  </si>
  <si>
    <t>E-3</t>
  </si>
  <si>
    <t>E-3(i)</t>
  </si>
  <si>
    <t>E-3(ii)</t>
  </si>
  <si>
    <t>Cost of meter replacement of three phase consumer CT Operated meter along with shifting of meter outside the premises.</t>
  </si>
  <si>
    <t>E-4</t>
  </si>
  <si>
    <t>Meter shifting of Single phase consumer to outside of premises with New Service Cable.</t>
  </si>
  <si>
    <t>E-5</t>
  </si>
  <si>
    <t>E-5(i)</t>
  </si>
  <si>
    <t>E-5(ii)</t>
  </si>
  <si>
    <t>ALUMINIUM 1C 70 SQ MM UNARMOURED LT PVC</t>
  </si>
  <si>
    <t>ALUMINIUM 1C 150 SQ MM UNARMOURED LT PVC</t>
  </si>
  <si>
    <t>ALUMINIUM 1C 300 SQ MM UNARMOURED LT PVC</t>
  </si>
  <si>
    <t>ALUMINIUM 1C 400 SQ MM UNARMOURED LT PV</t>
  </si>
  <si>
    <t>POWERCABLE ARM ALU 3.5CORE 70/35SQMM PVC</t>
  </si>
  <si>
    <t>POWERCABLE ARM ALU 3.5CORE 150/70SQMM PV</t>
  </si>
  <si>
    <t>Power Cable ARM ALU 3.5CORE 300/150SQMM</t>
  </si>
  <si>
    <t>16,0 SQMM, 4 CORE, ARMOURED AL. CABLE</t>
  </si>
  <si>
    <t>33KV ABC TERMINATION KIT 95-120 SQMM</t>
  </si>
  <si>
    <t>33KV ABC TERMINATION KIT 185 SQMM</t>
  </si>
  <si>
    <t>33KV ABC TERMINATION KIT 240 SQMM</t>
  </si>
  <si>
    <t>STRAIGHT LINE SUSPENSION ASSEMBLY FOR AL</t>
  </si>
  <si>
    <t>11KV ABC T-JOINTING KIT 35-70 SQMM</t>
  </si>
  <si>
    <t>11KV ABC T-JOINTING KIT 95-120 SQMM</t>
  </si>
  <si>
    <t xml:space="preserve">Cost per Km </t>
  </si>
  <si>
    <t>D.C.Cross Arm 5.2 Mtr. Channel</t>
  </si>
  <si>
    <t>Angle line Suspension Assembly (Suitable for all size cable)</t>
  </si>
  <si>
    <t>Aluminium Paint</t>
  </si>
  <si>
    <t>C-7(B-2)(I)</t>
  </si>
  <si>
    <t>C-7(B-2)(II)</t>
  </si>
  <si>
    <t>100 kVA on H-Beam 152x152 mm, 37.1 Kg/Mtr, 11 mtr long</t>
  </si>
  <si>
    <t>C-7(B-2)(III)</t>
  </si>
  <si>
    <t>200 kVA on H-Beam 152x152 mm, 37.1 Kg/Mtr, 11 mtr long</t>
  </si>
  <si>
    <t>C-7(B-2)(IV)</t>
  </si>
  <si>
    <t>Augmentation of 11/.4 kV S/s capacity (Assuming 25 years of life &amp; 10 years in service)</t>
  </si>
  <si>
    <t>1815 kVAR 12.1 kV 3-phase 50 Hz Outdoor type Capacitor bank having step as 363 kvar+726 kvar+726 Kvar 12.1 kv Bank shall be complete with capacitor units of 121 kVAr at 6.98 kV including allied materials such as suitable size of aluminium busbars, pin/post insulators, expulsion fuses, cable jointing kit, nuts &amp; bolts etc.</t>
  </si>
  <si>
    <t>410-SP-60, 12 Mtrs. Long.</t>
  </si>
  <si>
    <t>410-SP-29, 9 Mtrs. Long.</t>
  </si>
  <si>
    <t>Single Phase transformer with protection (16 kVA)</t>
  </si>
  <si>
    <t>3 Ø 4 Wire 0.5S with DLMS Protocol category B</t>
  </si>
  <si>
    <t>C-7(A-2)(II)</t>
  </si>
  <si>
    <t>C-7(A-2)(III)</t>
  </si>
  <si>
    <t>C-7(A-2)(IV)</t>
  </si>
  <si>
    <t>(B-2)</t>
  </si>
  <si>
    <t>Reason</t>
  </si>
  <si>
    <t>11 kV AB switch</t>
  </si>
  <si>
    <t>New row added</t>
  </si>
  <si>
    <t>(iii) R.S. Joist (175x85 mm) [7x2 Mtr]</t>
  </si>
  <si>
    <t>(iv) D.C.Cross arm Channel 5.2 mtr 100x50 mm (set)</t>
  </si>
  <si>
    <t>(v) D.C.Cross arm 2.7 Meter 100x50 mm Channel</t>
  </si>
  <si>
    <t>ACSR CONDUCTOR 0.03 Sqmm (30 Sqmm AlEq)</t>
  </si>
  <si>
    <t>ACSR CONDUCTOR 0.05 Sqmm (50 Sqmm Al q)</t>
  </si>
  <si>
    <t>ACSR CONDUCTOR 0.075 Sqmm (80 Sqmm Al.E</t>
  </si>
  <si>
    <t>ACSR CONDUCTOR 0.10 Sqmm (100 Sqmm lEq)</t>
  </si>
  <si>
    <t>CONDUCTOR ACSR PANTHER 130 sq mm</t>
  </si>
  <si>
    <t>CONDUCTOR AAA DOG</t>
  </si>
  <si>
    <t>T-CLAMPS FOR ACSR CONDUCTOR Dog Condutor</t>
  </si>
  <si>
    <t>T-CLAMPS FOR ACSR Raccoon Conductor.</t>
  </si>
  <si>
    <t xml:space="preserve">H-Beam 152x152 mm 37.1 Kg/Mtr 13 M (482.30 Kg) x 1 No = 482.3 Kgs </t>
  </si>
  <si>
    <t>(i) Stay Clamp for "H" Beam</t>
  </si>
  <si>
    <t>12x65 mm</t>
  </si>
  <si>
    <t>12x120 mm</t>
  </si>
  <si>
    <t>12x140 mm</t>
  </si>
  <si>
    <t>16x100 mm</t>
  </si>
  <si>
    <t>16x250 mm</t>
  </si>
  <si>
    <t>16x300 mm</t>
  </si>
  <si>
    <t>20x75 mm</t>
  </si>
  <si>
    <t>20x90 mm</t>
  </si>
  <si>
    <t>20x110 mm</t>
  </si>
  <si>
    <t>24x120 mm</t>
  </si>
  <si>
    <t>G.I. Spring Washer</t>
  </si>
  <si>
    <t>Gl Pipe 40 mm</t>
  </si>
  <si>
    <t>Per Mtr</t>
  </si>
  <si>
    <t>Danger board 33 kV &amp; 11 kV</t>
  </si>
  <si>
    <t xml:space="preserve">Single phase 11 kV PT's </t>
  </si>
  <si>
    <t>xvii</t>
  </si>
  <si>
    <t>LT Meter (CT Operated) 100/5 A with CT's</t>
  </si>
  <si>
    <t>(i) LT Meter (CT Operated) 100/5 A</t>
  </si>
  <si>
    <t>(ii) LT CT 100/5 A</t>
  </si>
  <si>
    <t>xviii</t>
  </si>
  <si>
    <r>
      <t>H.T. STATIC TRIVECTOR METERS</t>
    </r>
    <r>
      <rPr>
        <b/>
        <sz val="11"/>
        <rFont val="Arial"/>
        <family val="2"/>
      </rPr>
      <t xml:space="preserve"> </t>
    </r>
  </si>
  <si>
    <t>3 Ø 4 Wire 0.5S with DLMS Protocol category A</t>
  </si>
  <si>
    <t>xix</t>
  </si>
  <si>
    <t>Lead Acid Battery with automatic charger</t>
  </si>
  <si>
    <t>(i) Lead Acid Battery</t>
  </si>
  <si>
    <t>(ii) Battery Charger</t>
  </si>
  <si>
    <t>xx</t>
  </si>
  <si>
    <t>33/0.4 kV station transformer (50 kVA)</t>
  </si>
  <si>
    <t>xxi</t>
  </si>
  <si>
    <t>LT Distribution box for 63 kVA X'mer</t>
  </si>
  <si>
    <t>11 kV Isolator (600 A.) (including 2 Nos. for capacitor bank) Set</t>
  </si>
  <si>
    <t xml:space="preserve">33 kV DO Fuse unit </t>
  </si>
  <si>
    <t xml:space="preserve">11 kV DO Fuse unit </t>
  </si>
  <si>
    <t>xi</t>
  </si>
  <si>
    <t>xii</t>
  </si>
  <si>
    <t xml:space="preserve">11 kV AB Switch </t>
  </si>
  <si>
    <t>xiii</t>
  </si>
  <si>
    <t>Single phase 33 kV PT</t>
  </si>
  <si>
    <t>xiv</t>
  </si>
  <si>
    <t>33 kV CTPT Unit 200-100/5 A</t>
  </si>
  <si>
    <t>xv</t>
  </si>
  <si>
    <t>11 kV CTPT Unit 200-100/5 A</t>
  </si>
  <si>
    <t>xvi</t>
  </si>
  <si>
    <t xml:space="preserve">D.C.Cross arm 4' Centre Angle 100x100x6 mm  </t>
  </si>
  <si>
    <t>D.C.Cross arm 8' Centre 100x50 mm  Channel</t>
  </si>
  <si>
    <t>33 kV Cross Arm 75x75x6 mm</t>
  </si>
  <si>
    <t>D.C.Cross arm 5' Centre 100x50 mm M.S.Channel</t>
  </si>
  <si>
    <t>33 kV Top Channel 75x75x6 mm</t>
  </si>
  <si>
    <t>11 kV Top Clamp Angle type 65x65x6 mm</t>
  </si>
  <si>
    <t>Stay Clamp Rail for H-Beam</t>
  </si>
  <si>
    <t>SCREW DRIVER 150MM</t>
  </si>
  <si>
    <t>SCREW DRIVER INSULATED 255MM</t>
  </si>
  <si>
    <t>RING SPANNER</t>
  </si>
  <si>
    <t>DOUBLE END SPANNER</t>
  </si>
  <si>
    <t>BOX SPANNER</t>
  </si>
  <si>
    <t>11 KV CAPACITOR 600KVAR</t>
  </si>
  <si>
    <t>POLE MOUNTED GAS FILLED LT SHUNT CAPACIT</t>
  </si>
  <si>
    <t>CAPACITOR BANK 11KV 3PHASE 1200 KVAR</t>
  </si>
  <si>
    <t>XMER 16KVA 11/0.4 FOUR STAR ALU WOUND</t>
  </si>
  <si>
    <t>TRANSFORMER 25KVA 11/0.4KV  FOUR STAR</t>
  </si>
  <si>
    <t>TRANSFORMER 63KVA 11/0.43KV FOUR STAR</t>
  </si>
  <si>
    <t>Earlier Bin Code-7130320053</t>
  </si>
  <si>
    <t>Note:-  All the rates are with considering price variation clause.</t>
  </si>
  <si>
    <t>COST  SCHEDULE  B-9</t>
  </si>
  <si>
    <t>H.R.C. Fuse 250 Amps.</t>
  </si>
  <si>
    <t>H.R.C. Fuse 400 Amps.</t>
  </si>
  <si>
    <t>H.R.C. Fuse 100 Amps.</t>
  </si>
  <si>
    <t>D.O.Fuse element 33 kV (25 Amp.)</t>
  </si>
  <si>
    <t>D.O.Fuse element 33 kV (50 Amp.)</t>
  </si>
  <si>
    <t>H.R.C. Fuse Unit 250 Amps.</t>
  </si>
  <si>
    <t>33 kV Top clamp</t>
  </si>
  <si>
    <t>33 kV A.B. Switch</t>
  </si>
  <si>
    <t>33 kV D.O. Fuse Unit</t>
  </si>
  <si>
    <t>MS Channel 100x50 mm, 5.2 Mtr. Long for D.O., A.B. switch and LA mounting.</t>
  </si>
  <si>
    <t>T.C. Fuse Wire 12 SWG</t>
  </si>
  <si>
    <t>T.C. Fuse Wire 10 SWG</t>
  </si>
  <si>
    <t>Porcelain Kit-kat fuse unit 32 Amps.</t>
  </si>
  <si>
    <t xml:space="preserve">Piercing connector suitable for 95- 16 sqmm to 10-2.5 sqmm. for street light and service connection. </t>
  </si>
  <si>
    <t xml:space="preserve">Piercing connector suitable for 95- 16 sqmm to 50-16 sqmm. cable for Distribution Box. </t>
  </si>
  <si>
    <t>Piercing connector suitable for 95- 16 sqmm to 95-16 sqmm. for Tee connection.</t>
  </si>
  <si>
    <t>Pre-Insulated Bimetallic crimping lugs for Transformer connector</t>
  </si>
  <si>
    <t>ITEMS REMOVED  FROM Schedule- A-6 in 2016-17</t>
  </si>
  <si>
    <t>0.05x10+5x0.3+ old one 1.3 CMT</t>
  </si>
  <si>
    <t>11/.4 kV Outdoor Sub-station (10 kVA Transformer)</t>
  </si>
  <si>
    <t>C-11 (A)</t>
  </si>
  <si>
    <t>GI pipe 200 mm for cable support at D.P.</t>
  </si>
  <si>
    <t xml:space="preserve">Supplying &amp; erection of cement cable route marker with colour painting &amp; naming the work duly embossed complete size of concrete 600 mm x 225 mm x 100 mm </t>
  </si>
  <si>
    <t>Aluminium clamp suitable for Dog / Raccoon conductor for connecting L.A</t>
  </si>
  <si>
    <r>
      <t xml:space="preserve">GI earthing pipe 40 mm dia 3.0 mtr long, 4 mm thick with 12 mm holes at 18 places in each pipe at equal distance tapered casing at lower end. </t>
    </r>
    <r>
      <rPr>
        <sz val="14"/>
        <rFont val="Arial"/>
        <family val="2"/>
      </rPr>
      <t>*</t>
    </r>
  </si>
  <si>
    <t>4 Nos earthings are required for cable &amp; 6 Nos. for 2 DP's</t>
  </si>
  <si>
    <t>Labour Charges for laying of HDPE Pipe (using HDD Technique ** ) as per Schedule AL-5</t>
  </si>
  <si>
    <t>The charges to be paid for according railway permisssion shall be made as per actuals i.e. based on the demand note / payment received for the same.</t>
  </si>
  <si>
    <t xml:space="preserve">The rates mentioned at S.No.1, 2, 3 &amp; 4  are applicable for 60 Mtr Corridor of Railway crossing. Estimate may be prepared based on actual length of corridor. </t>
  </si>
  <si>
    <t>PORCELAIN KIT-KATS FUSE UNITS 100 Amps.</t>
  </si>
  <si>
    <t>PORCELAIN KIT-KATS FUSE UNITS 200 Amps</t>
  </si>
  <si>
    <t>PORCELAIN KIT-KATS FUSE UNITS 300 Amps.</t>
  </si>
  <si>
    <t>12KV KIOSK TYPE OUTDOOR VACUUM CIRCUIT B</t>
  </si>
  <si>
    <t>TPN SWITCHES, 415 VOLTS: - 32 AMPS.</t>
  </si>
  <si>
    <t>TPN SWITCHES, 415 VOLTS: - 63 AMPS.</t>
  </si>
  <si>
    <t>TPN SWITCHES, 415 VOLTS: - 100 AMPS.</t>
  </si>
  <si>
    <t>TPN SWITCHES, 415 VOLTS: - 200 AMPS.</t>
  </si>
  <si>
    <t>TPN SWITCHES, 415 VOLTS: - 300 AMPS.</t>
  </si>
  <si>
    <t>TPN SWITCHES, 415 VOLTS: - 400 AMPS.</t>
  </si>
  <si>
    <t>DIST.BOARD &amp; DP MCB 4NO 6A&amp;2NO 16A</t>
  </si>
  <si>
    <t>33 KV 600AMPS WITH EARTH SWITCH ISOLATO</t>
  </si>
  <si>
    <t xml:space="preserve">Amount </t>
  </si>
  <si>
    <t>11KV 8 FEET CENTRE DC CROSS ARM</t>
  </si>
  <si>
    <t>33 KV V CROSS ARM</t>
  </si>
  <si>
    <t>33 KV 5 FEET CENTRE DC CROSS ARM</t>
  </si>
  <si>
    <t>STRAIN PLATE</t>
  </si>
  <si>
    <t>33KV top clamp</t>
  </si>
  <si>
    <t>11KV top clamp</t>
  </si>
  <si>
    <t>11KV cut point channel paint</t>
  </si>
  <si>
    <t>33 KV 4.8 MTR DC CROSS ARM</t>
  </si>
  <si>
    <t>Stay clamp for 'H' Beam</t>
  </si>
  <si>
    <t>11KV 5KN PIN INSULATOR (POLYMER)</t>
  </si>
  <si>
    <t>33KV 10KN PIN INSULATOR (POLYMER)</t>
  </si>
  <si>
    <t>11KV 45KN DISC INSULATOR T&amp;C TYPE (POLYM</t>
  </si>
  <si>
    <t>33KV POLYMER (COMPOSITE) DISC INSULATOR</t>
  </si>
  <si>
    <t>Split insulators.</t>
  </si>
  <si>
    <t>11KV POST INSULATOR</t>
  </si>
  <si>
    <t>33KV POST INSULATOR</t>
  </si>
  <si>
    <t>Disc Insulator</t>
  </si>
  <si>
    <t>Jointing sleeve for Raccoon Conductor.</t>
  </si>
  <si>
    <t>Jointing sleeve for Dog Conductor.</t>
  </si>
  <si>
    <t>Bimetallic clamp for Power Transformer</t>
  </si>
  <si>
    <t>Bimetallic clamp for VCB</t>
  </si>
  <si>
    <t>Bimetallic clamp for CT-PT Unit</t>
  </si>
  <si>
    <t>C-7(A-1)(IV)</t>
  </si>
  <si>
    <t>(B-1)</t>
  </si>
  <si>
    <t>25 kVA on H-Beam 152x152 mm, 37.1 Kg/Mtr, 11 mtr long</t>
  </si>
  <si>
    <t>C-7(B-1)(I)</t>
  </si>
  <si>
    <t>63 kVA on  H-Beam 152x152 mm,37.1 Kg/Mtr, 11 mtr long</t>
  </si>
  <si>
    <t>C-7(B-1)(II)</t>
  </si>
  <si>
    <t>G.I. PIPE 200MM FOR 400MM CABLE OF DIA 1</t>
  </si>
  <si>
    <t>G.I.BEND 200MM</t>
  </si>
  <si>
    <t>CAPING OF HDPE PIPE ON BOTH END OF PIPE</t>
  </si>
  <si>
    <t>900 MM RCC PIPE TYPE NP-2(2.5MTR LONG)</t>
  </si>
  <si>
    <t>M.S. PIPE 200MM DIA WITH COLLARS</t>
  </si>
  <si>
    <t>PIPE GI 40 MM MEDIUM QUALITY</t>
  </si>
  <si>
    <t>G.I. EARTHING PIPE 40 MM</t>
  </si>
  <si>
    <t>Unit rate for 2016-17</t>
  </si>
  <si>
    <t>RATE OF STOCK MATERIALS IN 2016-17</t>
  </si>
  <si>
    <t>Universal hook &amp; Bolts &amp; nuts</t>
  </si>
  <si>
    <t>Universal distribution connector</t>
  </si>
  <si>
    <t>Cable tie (UV protected black colour) for AB Cable</t>
  </si>
  <si>
    <t>10 Sq.mm, 4 Core</t>
  </si>
  <si>
    <t>16 Sq.mm, 4 Core</t>
  </si>
  <si>
    <t>With 3 core U/G XLPE 400 sqmm Cable</t>
  </si>
  <si>
    <t>A-6(ii)</t>
  </si>
  <si>
    <t>(J)</t>
  </si>
  <si>
    <t>Megger up to 2.5 kV</t>
  </si>
  <si>
    <t>Silica gel</t>
  </si>
  <si>
    <t>25 kVA to 63 kVA</t>
  </si>
  <si>
    <t>63 kVA to 100 kVA</t>
  </si>
  <si>
    <t>M.S. sheet meter piller box</t>
  </si>
  <si>
    <t xml:space="preserve">Metal Halide light lamp  </t>
  </si>
  <si>
    <t>Stay Clamp for 280 kG. PCC Pole</t>
  </si>
  <si>
    <t>Stay Clamp Rail "A" type</t>
  </si>
  <si>
    <t>Stay Clamp for R.S.Joist "A" type</t>
  </si>
  <si>
    <t>Cable separator in RCC Pipe with Angle Cross of 50x50x6 mm Angle @ 2 No. in one pipe</t>
  </si>
  <si>
    <t>Caping of RCC Pipe on both end of pipe with Concreting and Bricks work</t>
  </si>
  <si>
    <t>S. No.</t>
  </si>
  <si>
    <t>COST SCHEDULE   A-1</t>
  </si>
  <si>
    <t>16x65 mm</t>
  </si>
  <si>
    <t>16x90 mm</t>
  </si>
  <si>
    <t>16x140 mm</t>
  </si>
  <si>
    <t>16x160 mm</t>
  </si>
  <si>
    <t>(ix) M.S.Nuts &amp; Bolts 16x90 mm.</t>
  </si>
  <si>
    <t>(i) Stay set 20 mm</t>
  </si>
  <si>
    <t>(ii) Stay Clamp For PCC Pole</t>
  </si>
  <si>
    <t>Cement @ 208 Kg/cmt</t>
  </si>
  <si>
    <t xml:space="preserve">Danger Board </t>
  </si>
  <si>
    <t>(i) Stay Clamp for PCC Pole</t>
  </si>
  <si>
    <t>(ii) Stay Clamp for Rail Pole A Type</t>
  </si>
  <si>
    <t>(iii) Stay Clamp for Rail Pole B Type</t>
  </si>
  <si>
    <t>(ii) Stay Clamp for PCC Pole</t>
  </si>
  <si>
    <t>(iii) Stay Clamp for Rail Pole A Type</t>
  </si>
  <si>
    <t>(iv) Stay Clamp for Rail Pole B Type</t>
  </si>
  <si>
    <t>16x200 mm</t>
  </si>
  <si>
    <t xml:space="preserve">Transport charges upto 50 Kms average lead from Area Store to construction camp including site Transport (Trans. Schedule T-1) </t>
  </si>
  <si>
    <t xml:space="preserve">Material Code </t>
  </si>
  <si>
    <t>Description</t>
  </si>
  <si>
    <t>unit</t>
  </si>
  <si>
    <t xml:space="preserve">Services on Painting on structure </t>
  </si>
  <si>
    <t>I-Bolt (big size)</t>
  </si>
  <si>
    <t>Foundation bolt</t>
  </si>
  <si>
    <t>Through Bolt</t>
  </si>
  <si>
    <t>Stay clamp for 140 kG PCC Pole</t>
  </si>
  <si>
    <t>Qty earlier was 1.1 CMT</t>
  </si>
  <si>
    <t>Qty earlier was 291 kG</t>
  </si>
  <si>
    <t>Qty earlier taken 10 kg</t>
  </si>
  <si>
    <t>ITEMS REMOVED  FROM Schedule- A-3(B) in 2016-17</t>
  </si>
  <si>
    <t>Concreting of H-Beam support @ 0.6 Cmt. per pole and @ 0.05 Cmt per pole for base padding of H-Beam pole.</t>
  </si>
  <si>
    <t>Qty earlier taken 1 kg</t>
  </si>
  <si>
    <t>ITEMS REMOVED  FROM Schedule- A-4 in 2016-17</t>
  </si>
  <si>
    <t xml:space="preserve">Concreting of H-Beam Supports @ 0.6 Cmt. Per Pole; @ 0.05 Cmt. per Pole for base Padding &amp; @ 0.3 Cmt. Per stay </t>
  </si>
  <si>
    <t>(ix) MS Nut &amp; Bolt 16x90 mm</t>
  </si>
  <si>
    <t>33 kV Polymer Disc Insulator (9x20=180)</t>
  </si>
  <si>
    <t>Qty earlier taken 20 kg</t>
  </si>
  <si>
    <t>ITEMS REMOVED  FROM Schedule- A-5 in 2016-17</t>
  </si>
  <si>
    <t xml:space="preserve">(ii) M.S. Angle 65X65x6 mm </t>
  </si>
  <si>
    <t>a) 8 Core  2.5 Sqmm. (unarmoured)</t>
  </si>
  <si>
    <t>b) 4 Core  2.5 Sqmm. (unarmoured)</t>
  </si>
  <si>
    <t xml:space="preserve">GI earthing pipe of 40 mm dia 3.04 mtr long, 4 mm thickness 12 mm hole at 18 places at equal distance trapered casing at lower end . </t>
  </si>
  <si>
    <t>1 KM OF 33 kV LINE ON PCC POLES / H-BEAMS WITH MAXIMUM SPAN OF 100 METERS USING RACCOON CONDUCTOR</t>
  </si>
  <si>
    <t>Porcelain Kit-kat fuse unit 16 Amps.</t>
  </si>
  <si>
    <t>Porcelain Kit-kat fuse unit 100 Amps.</t>
  </si>
  <si>
    <t>Porcelain Kit-kat fuse unit 200 Amps.</t>
  </si>
  <si>
    <t>Porcelain Kit-kat fuse unit 300 Amps.</t>
  </si>
  <si>
    <t>TPN Switches 32 Amps.</t>
  </si>
  <si>
    <t>TPN Switches 63 Amps.</t>
  </si>
  <si>
    <t>TPN Switches 100 Amps.</t>
  </si>
  <si>
    <t>TPN Switches 200 Amps.</t>
  </si>
  <si>
    <t>TPN Switches 300 Amps.</t>
  </si>
  <si>
    <t>TPN Switches 400 Amps.</t>
  </si>
  <si>
    <t>11 kV Porcelain A.B. Switch</t>
  </si>
  <si>
    <t>33 kV Porcelain A.B. Switch</t>
  </si>
  <si>
    <t>11 kV Porcelain D.O. Fuse unit</t>
  </si>
  <si>
    <t>33 kV Porcelain D.O. Fuse unit</t>
  </si>
  <si>
    <t>MCCB 100 Amps. (10 kA TP)</t>
  </si>
  <si>
    <t>MCCB 300 Amps. (35 kA TP)</t>
  </si>
  <si>
    <t>MCCB 450 TO 500 Amps. (35 kA TP)</t>
  </si>
  <si>
    <t>BOLT WITH NUT M S 12X100 MM</t>
  </si>
  <si>
    <t>M S NUTS AND BOLTS: - 12x120mm</t>
  </si>
  <si>
    <t>M S NUTS AND BOLTS: - 12x140mm</t>
  </si>
  <si>
    <t>M S NUTS AND BOLTS: - 16x40mm</t>
  </si>
  <si>
    <t>Overhead Charges @ 11% [ Market Fluctuation, Service Tax, Contractor's profit etc.]</t>
  </si>
  <si>
    <t>Polymer Disc insulator for 11 kV side (double disc)</t>
  </si>
  <si>
    <t>11 kV, 2 Addl. bus bar structure 08 mtr long H- Beam 37.1 Kg/mtr  with 4 Nos, 5.2 Mtr long DC cross arm (100 x 50 mm)</t>
  </si>
  <si>
    <t>(i) H-Beam 152x152 mm 08 mtr long 37.1 kg/mtr i.e.= 296.8 kg/pole x 4 No = 1187.2 Kgs.</t>
  </si>
  <si>
    <t>(ii) H-Beam 152x152 mm 11 mtr long 37.1 kg/mtr i.e.= 408.1 kg/pole x 4 No = 1632.40 Kgs</t>
  </si>
  <si>
    <t>Dog conductor</t>
  </si>
  <si>
    <t>(vi)</t>
  </si>
  <si>
    <t>(vii)</t>
  </si>
  <si>
    <t>(viii)</t>
  </si>
  <si>
    <t xml:space="preserve">Bi-metallic clamps for transformer   </t>
  </si>
  <si>
    <t>(ix)</t>
  </si>
  <si>
    <r>
      <t xml:space="preserve">Bi-metallic clamps for VCBs  </t>
    </r>
    <r>
      <rPr>
        <sz val="12"/>
        <rFont val="Arial"/>
        <family val="2"/>
      </rPr>
      <t xml:space="preserve"> </t>
    </r>
  </si>
  <si>
    <t>(x)</t>
  </si>
  <si>
    <t>Strain hardware with strain set suitable for Dog conductor: -</t>
  </si>
  <si>
    <t>(ii) GI Wire 8 SWG</t>
  </si>
  <si>
    <t>(v) I - Bolt Big Size</t>
  </si>
  <si>
    <t xml:space="preserve">DC cross arm of 100x50 mm Channel (3.8 Mtr. Long) </t>
  </si>
  <si>
    <t>GI earthing pipe of 40 mm dia. &amp; 2.4 mm thick 3.04 mtr long with 12 mm hole at 18 places at equal distance trapered casing at lower end .</t>
  </si>
  <si>
    <t>G.I.Bend of 40 mm dia.</t>
  </si>
  <si>
    <t>33 kV CTPT unit of appropriate capacity</t>
  </si>
  <si>
    <t>Schedule for installation of compact R.M.U. 11 kV Class SF6 / VCB type (1 Incoming + 2 Breaker + 1 Outgoing)</t>
  </si>
  <si>
    <t>C-19</t>
  </si>
  <si>
    <t>NEW ADDED</t>
  </si>
  <si>
    <t>Schedule for Chemical Earthing of Metering Equipment installed in the premises of HT consumers in normal / hard rock soil.</t>
  </si>
  <si>
    <t>C-20</t>
  </si>
  <si>
    <t>300 SQMM ALUMINIUM END TERMINALS (LUGS)</t>
  </si>
  <si>
    <t>PRE- INSULATED BIMETALLIC CRIMPING TYPE</t>
  </si>
  <si>
    <t>INSULATING PIERCING CONNECTOR AB CABLE(S</t>
  </si>
  <si>
    <t>INSULATING PIERCING CONNECTOR FOR AB CAB</t>
  </si>
  <si>
    <t>Service in lieu of concreting metal &amp; Sand only</t>
  </si>
  <si>
    <t>ISI MARKED CABLE ALU 1CORE 120 SQMM 1100</t>
  </si>
  <si>
    <t>ISI MARKED CABLE ALU 1CORE 35 SQMM 1100V</t>
  </si>
  <si>
    <t>3 phase  line on 140 Kg, 8.0 Mtr long PCC poles with following XLPE Cable</t>
  </si>
  <si>
    <t>Using 1100 Volt grade AB Cable 3x50+1x25+1x35</t>
  </si>
  <si>
    <t>D-6 [1] (i)</t>
  </si>
  <si>
    <t>D-6 [1] (ii)</t>
  </si>
  <si>
    <t>3 phase line on RS Joist 175x85 mm ,19.495 Kg/Mtr, 9.3 Mtr long poles with following XLPE Cable</t>
  </si>
  <si>
    <t>D-6 [1] (iii)</t>
  </si>
  <si>
    <t>D-6 [1] (iv)</t>
  </si>
  <si>
    <t>D-6 [1] (v)</t>
  </si>
  <si>
    <t>D-6 [1] (vi)</t>
  </si>
  <si>
    <t>(H )</t>
  </si>
  <si>
    <t>D-6 [2] (i)</t>
  </si>
  <si>
    <t>Using 1100 Volt grade AB Cable 3x70+1x16+1x50</t>
  </si>
  <si>
    <t>D-6 [2] (ii)</t>
  </si>
  <si>
    <t>D-6 [2] (iii)</t>
  </si>
  <si>
    <t>3 phase line on H-Beam 152x152 mm, 37.1 Kg/Mtr, 9.0 Mtr long poles with following XLPE Cable</t>
  </si>
  <si>
    <t>1 phase 3 Wire line on 140 kg 8.0 Mtr.long PCC poles with 1100 V grade AB XLPE Cable 1x25+1x16+1x25 sq.mm.</t>
  </si>
  <si>
    <t xml:space="preserve">D-6 [3] </t>
  </si>
  <si>
    <t>Wall mounting type holder for Hydrometer</t>
  </si>
  <si>
    <t>Earth resistance tester (20/200/2000 Ω)</t>
  </si>
  <si>
    <t>Rain Coats with Hoods</t>
  </si>
  <si>
    <t>Gum Boots</t>
  </si>
  <si>
    <t xml:space="preserve">(ii) H-Beam 152x152 mm 37.1 Kg/Mtr 13 M (482.3 Kg) / pole x 2 No = 964.6 Kgs </t>
  </si>
  <si>
    <t>Stay clamp HT per pair</t>
  </si>
  <si>
    <t>Strain Plate</t>
  </si>
  <si>
    <t>Dead-end Assembly (Suitable for all size cable)</t>
  </si>
  <si>
    <t>Straight line Suspension Assembly (Suitable for all size cable)</t>
  </si>
  <si>
    <t>Eye Hook</t>
  </si>
  <si>
    <t>Earth spike</t>
  </si>
  <si>
    <t>Pole Clamp</t>
  </si>
  <si>
    <t>Black Cambric tape 25 mm wide 7 mm thick and in rolls of 50 Mtr.</t>
  </si>
  <si>
    <t>PVC lnsulation Tapes 19 mm wide and in rolls of 10 Mtrs</t>
  </si>
  <si>
    <t>Grey Enamel Paint smoke/battle ship</t>
  </si>
  <si>
    <t>Cotton Tapes 19 mm wide and in rolls of 50 Mtrs</t>
  </si>
  <si>
    <t>Cotton Waste</t>
  </si>
  <si>
    <t>Hack saw blade 300x12.5 mm</t>
  </si>
  <si>
    <t>Monoplast</t>
  </si>
  <si>
    <t>Bitumen compound</t>
  </si>
  <si>
    <t>10 kVA Single phase</t>
  </si>
  <si>
    <t>C-13(II)</t>
  </si>
  <si>
    <t>16 kVA Three phase</t>
  </si>
  <si>
    <t xml:space="preserve">Adjustable Screw Spanner 12 inches </t>
  </si>
  <si>
    <t xml:space="preserve">Power Transformer 3150 kVA </t>
  </si>
  <si>
    <t xml:space="preserve">Power Transformer 5000 kVA </t>
  </si>
  <si>
    <t>Indoor Type 33 kV Metering Cubical CTPT Unit 100 /5A</t>
  </si>
  <si>
    <t>L.T.C.T. 100/5 Amps.</t>
  </si>
  <si>
    <t>L.T.C.T. 200/5 Amps.</t>
  </si>
  <si>
    <t>L.T.C.T. 300/5 Amps.</t>
  </si>
  <si>
    <t>L.T.C.T. 500/5 Amps.</t>
  </si>
  <si>
    <t>220 kV C.T. 800-400/1</t>
  </si>
  <si>
    <t xml:space="preserve">Concreting of H-Beam Supports @ 0.6 Cmt. Per Pole; @ 0.05 Cmt per Pole for  base Padding  &amp; @ 0.3 Cmt. Per stay </t>
  </si>
  <si>
    <t>Qty earlier taken 2 kg</t>
  </si>
  <si>
    <t>ITEMS REMOVED  FROM Schedule- A-7 in 2016-17</t>
  </si>
  <si>
    <t>100 kVA on H-Beam 152x152 mm, 37.1 Kg/Mtr, 11mtr long</t>
  </si>
  <si>
    <t>C-7(B-1)(III)</t>
  </si>
  <si>
    <t>Lightning Arrestor Structure</t>
  </si>
  <si>
    <t>11 kV Guarding Channel 100x50 mm</t>
  </si>
  <si>
    <t>D.O. Mounting Channel 75x40 mm</t>
  </si>
  <si>
    <t>D.C.Cross arm 4' Centre 100x50 mm Channel 2 Nos.</t>
  </si>
  <si>
    <t xml:space="preserve">D.C.Cross arm 4' Centre 75x40 mm Channel </t>
  </si>
  <si>
    <t xml:space="preserve">Qty earlier taken 10233.6 / 12147.2 / 13395.2 // Concreting included of R.S. Joist support for Isolators. </t>
  </si>
  <si>
    <t>New row added // For Yard lighting</t>
  </si>
  <si>
    <t>33 KV Pin insulator without GI Pin.</t>
  </si>
  <si>
    <t>SHACKEL INSULATORS: - 65 x 50 mm.</t>
  </si>
  <si>
    <t>M S CHANNEL 100X50 MM</t>
  </si>
  <si>
    <t>M S FLAT 65X8 MM</t>
  </si>
  <si>
    <t>R.S.JOIST 125 x 70 mm</t>
  </si>
  <si>
    <t>R S JOIST 175X85 MM</t>
  </si>
  <si>
    <t>Rails 52.09 kgs per Mtr./105 lbs yard</t>
  </si>
  <si>
    <t>RAIL 60 KG PER METER</t>
  </si>
  <si>
    <t>Using HDD Technique</t>
  </si>
  <si>
    <t>Using Pipe Pushing Method</t>
  </si>
  <si>
    <t>(b)</t>
  </si>
  <si>
    <t>Labour Charges for laying of HDPE Pipe (using Pipe Pushing Method ) as per Schedule AL-5</t>
  </si>
  <si>
    <t>Qty earlier taken was 108 Nos. // As per actual requirement</t>
  </si>
  <si>
    <t>Qty earlier taken 114 Nos. // As per actual requirement</t>
  </si>
  <si>
    <t>Qty earlier taken was 66 Nos. // As per actual requirement</t>
  </si>
  <si>
    <t>Qty earlier taken was 1497.6 kG // Cement @ 0.45 CMT per bus structure;</t>
  </si>
  <si>
    <t>Qty earlier taken was 21 Nos. // More provision given -to be provided at location of crossing of MS Flat</t>
  </si>
  <si>
    <t>Qty earlier taken was 40 Nos. // 6 location earthing @ 4 No per location</t>
  </si>
  <si>
    <t>New row added // As per actiual; requirement, Given for new bay</t>
  </si>
  <si>
    <t>Qty earlier taken was 7.2 Cmt. // Cement @ 0.45 CMT per bus structure</t>
  </si>
  <si>
    <t xml:space="preserve">(iii) 33 kV Guarding Channel </t>
  </si>
  <si>
    <t>(viii) Stay wire 7/8 SWG &amp; 8.5 Kg/ stay</t>
  </si>
  <si>
    <t xml:space="preserve">PARTICULARS </t>
  </si>
  <si>
    <t xml:space="preserve">S. No. </t>
  </si>
  <si>
    <t xml:space="preserve">Labour Charges per Km as per Schedule - AL-4  </t>
  </si>
  <si>
    <t>LT 3 phase 5 Wire Aerial Bunched Cable of Size 3X95+1x16+1x50</t>
  </si>
  <si>
    <t>Net cost of Augmentation</t>
  </si>
  <si>
    <t>Net cost of Augmentation (Rounded off)</t>
  </si>
  <si>
    <t>Earlier rate was Rs 20000/- LS</t>
  </si>
  <si>
    <t>LT 3 phase 5 Wire Aerial Bunched Cable of Size 3X95+1x16+1x70</t>
  </si>
  <si>
    <t>LT 3 phase 5 Wire Aerial Bunched Cable of Size 3X95+1x35+1x70</t>
  </si>
  <si>
    <t>Suspension Clamp (Suitable for all size cable)</t>
  </si>
  <si>
    <t>Distribution box 1 ph. 4 connectors</t>
  </si>
  <si>
    <t>Providing, Fabricating and fixing 8 SWG Chain link fencing (TATA Make) 75 x 75 mm Size Gl Chain link Mesh fencing made out of 65 x 65 x 6 mm MS angle as per drawing no. T&amp;D/DRG/MISC/2 Revision -2</t>
  </si>
  <si>
    <t>Sq.mtr</t>
  </si>
  <si>
    <t>220 kV C.T. 600-300/1</t>
  </si>
  <si>
    <t>11 kV CTPT Unit 400-200/5 A</t>
  </si>
  <si>
    <t>33 kV CTPT Unit 300-150/5 A</t>
  </si>
  <si>
    <t>11 kV C.T. 200-100/5 Amps.</t>
  </si>
  <si>
    <t>11 kV C.T. 300-150/5 Amps.</t>
  </si>
  <si>
    <t>132 kV C.T. 100-50/1</t>
  </si>
  <si>
    <t>132 kV C.T. 200-100/1</t>
  </si>
  <si>
    <t>132 kV C.T. 300-150/1</t>
  </si>
  <si>
    <t>11 kV CTPT Unit 7.5/5 A</t>
  </si>
  <si>
    <t>11 kV CTPT Unit 10/5 A</t>
  </si>
  <si>
    <t>11 kV CTPT Unit 15/5 A</t>
  </si>
  <si>
    <t>11 kV CTPT Unit 300-150/5 A</t>
  </si>
  <si>
    <t>11 kV CTPT Unit 25/5 A</t>
  </si>
  <si>
    <t>11 kV CTPT Unit 75/5 A</t>
  </si>
  <si>
    <t>11 kV CTPT Unit 50/5 A</t>
  </si>
  <si>
    <t>33 kV CTPT Unit 20/5 A</t>
  </si>
  <si>
    <t>33 kV CTPT Unit 5/5 A</t>
  </si>
  <si>
    <t>33 kV CTPT Unit 10/5 A</t>
  </si>
  <si>
    <t>33 kV CTPT Unit 30/5 A</t>
  </si>
  <si>
    <t>33 kV CTPT Unit 50/5 A</t>
  </si>
  <si>
    <t>33 kV CTPT Unit 100 /5A</t>
  </si>
</sst>
</file>

<file path=xl/styles.xml><?xml version="1.0" encoding="utf-8"?>
<styleSheet xmlns="http://schemas.openxmlformats.org/spreadsheetml/2006/main">
  <numFmts count="56">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quot;₹&quot;\ * #,##0.00_ ;_ &quot;₹&quot;\ * \-#,##0.00_ ;_ &quot;₹&quot;\ * &quot;-&quot;??_ ;_ @_ "/>
    <numFmt numFmtId="178" formatCode="&quot;&quot;\`&quot;&quot;#,##0_);\(&quot;&quot;\`&quot;&quot;#,##0\)"/>
    <numFmt numFmtId="179" formatCode="&quot;&quot;\`&quot;&quot;#,##0_);[Red]\(&quot;&quot;\`&quot;&quot;#,##0\)"/>
    <numFmt numFmtId="180" formatCode="&quot;&quot;\`&quot;&quot;#,##0.00_);\(&quot;&quot;\`&quot;&quot;#,##0.00\)"/>
    <numFmt numFmtId="181" formatCode="&quot;&quot;\`&quot;&quot;#,##0.00_);[Red]\(&quot;&quot;\`&quot;&quot;#,##0.00\)"/>
    <numFmt numFmtId="182" formatCode="_(&quot;&quot;\`&quot;&quot;* #,##0_);_(&quot;&quot;\`&quot;&quot;* \(#,##0\);_(&quot;&quot;\`&quot;&quot;* &quot;-&quot;_);_(@_)"/>
    <numFmt numFmtId="183" formatCode="_(&quot;&quot;\`&quot;&quot;* #,##0.00_);_(&quot;&quot;\`&quot;&quot;* \(#,##0.00\);_(&quot;&quot;\`&quot;&quot;* &quot;-&quot;??_);_(@_)"/>
    <numFmt numFmtId="184" formatCode="&quot;Rs.&quot;\ #,##0_);\(&quot;Rs.&quot;\ #,##0\)"/>
    <numFmt numFmtId="185" formatCode="&quot;Rs.&quot;\ #,##0_);[Red]\(&quot;Rs.&quot;\ #,##0\)"/>
    <numFmt numFmtId="186" formatCode="&quot;Rs.&quot;\ #,##0.00_);\(&quot;Rs.&quot;\ #,##0.00\)"/>
    <numFmt numFmtId="187" formatCode="&quot;Rs.&quot;\ #,##0.00_);[Red]\(&quot;Rs.&quot;\ #,##0.00\)"/>
    <numFmt numFmtId="188" formatCode="_(&quot;Rs.&quot;\ * #,##0_);_(&quot;Rs.&quot;\ * \(#,##0\);_(&quot;Rs.&quot;\ * &quot;-&quot;_);_(@_)"/>
    <numFmt numFmtId="189" formatCode="_(&quot;Rs.&quot;\ * #,##0.00_);_(&quot;Rs.&quot;\ * \(#,##0.00\);_(&quot;Rs.&quot;\ * &quot;-&quot;??_);_(@_)"/>
    <numFmt numFmtId="190" formatCode="0.000"/>
    <numFmt numFmtId="191" formatCode="0.000000"/>
    <numFmt numFmtId="192" formatCode="0.0000000"/>
    <numFmt numFmtId="193" formatCode="0.00000"/>
    <numFmt numFmtId="194" formatCode="0.0000"/>
    <numFmt numFmtId="195" formatCode="0.0%"/>
    <numFmt numFmtId="196" formatCode="0.0"/>
    <numFmt numFmtId="197" formatCode="#,##0.0"/>
    <numFmt numFmtId="198" formatCode="00000"/>
    <numFmt numFmtId="199" formatCode="0.00;[Red]0.00"/>
    <numFmt numFmtId="200" formatCode="0.000000000"/>
    <numFmt numFmtId="201" formatCode="&quot;Yes&quot;;&quot;Yes&quot;;&quot;No&quot;"/>
    <numFmt numFmtId="202" formatCode="&quot;True&quot;;&quot;True&quot;;&quot;False&quot;"/>
    <numFmt numFmtId="203" formatCode="&quot;On&quot;;&quot;On&quot;;&quot;Off&quot;"/>
    <numFmt numFmtId="204" formatCode="[$€-2]\ #,##0.00_);[Red]\([$€-2]\ #,##0.00\)"/>
    <numFmt numFmtId="205" formatCode="&quot;$&quot;#,##0.00"/>
    <numFmt numFmtId="206" formatCode="&quot;Rs.&quot;\ #,##0.00"/>
    <numFmt numFmtId="207" formatCode="[$-409]dddd\,\ mmmm\ dd\,\ yyyy"/>
    <numFmt numFmtId="208" formatCode="[$-409]h:mm:ss\ AM/PM"/>
    <numFmt numFmtId="209" formatCode="0.00000000"/>
    <numFmt numFmtId="210" formatCode="0.0;[Red]0.0"/>
    <numFmt numFmtId="211" formatCode="0;[Red]0"/>
  </numFmts>
  <fonts count="111">
    <font>
      <sz val="10"/>
      <name val="Arial"/>
      <family val="0"/>
    </font>
    <font>
      <b/>
      <sz val="10"/>
      <name val="Arial"/>
      <family val="2"/>
    </font>
    <font>
      <b/>
      <sz val="11"/>
      <name val="Arial"/>
      <family val="2"/>
    </font>
    <font>
      <u val="single"/>
      <sz val="10"/>
      <color indexed="12"/>
      <name val="Arial"/>
      <family val="0"/>
    </font>
    <font>
      <u val="single"/>
      <sz val="10"/>
      <color indexed="36"/>
      <name val="Arial"/>
      <family val="0"/>
    </font>
    <font>
      <b/>
      <sz val="12"/>
      <name val="Arial"/>
      <family val="2"/>
    </font>
    <font>
      <sz val="12"/>
      <name val="Arial"/>
      <family val="0"/>
    </font>
    <font>
      <sz val="14"/>
      <name val="Arial"/>
      <family val="2"/>
    </font>
    <font>
      <sz val="8"/>
      <name val="Arial"/>
      <family val="0"/>
    </font>
    <font>
      <sz val="18"/>
      <name val="Arial"/>
      <family val="2"/>
    </font>
    <font>
      <sz val="12"/>
      <color indexed="8"/>
      <name val="Arial"/>
      <family val="2"/>
    </font>
    <font>
      <b/>
      <sz val="14"/>
      <name val="Arial"/>
      <family val="2"/>
    </font>
    <font>
      <sz val="10"/>
      <color indexed="8"/>
      <name val="Arial"/>
      <family val="0"/>
    </font>
    <font>
      <b/>
      <sz val="14"/>
      <name val="Copperplate Gothic Bold"/>
      <family val="2"/>
    </font>
    <font>
      <sz val="11"/>
      <name val="Calibri"/>
      <family val="2"/>
    </font>
    <font>
      <sz val="12"/>
      <name val="Rupee"/>
      <family val="0"/>
    </font>
    <font>
      <b/>
      <sz val="16"/>
      <name val="Arial"/>
      <family val="2"/>
    </font>
    <font>
      <sz val="11"/>
      <name val="Arial"/>
      <family val="2"/>
    </font>
    <font>
      <b/>
      <i/>
      <sz val="12"/>
      <name val="Arial"/>
      <family val="2"/>
    </font>
    <font>
      <b/>
      <sz val="12"/>
      <color indexed="10"/>
      <name val="Arial"/>
      <family val="2"/>
    </font>
    <font>
      <b/>
      <sz val="11"/>
      <name val="Calibri"/>
      <family val="2"/>
    </font>
    <font>
      <b/>
      <sz val="18"/>
      <name val="Arial"/>
      <family val="2"/>
    </font>
    <font>
      <sz val="10.5"/>
      <name val="Arial"/>
      <family val="2"/>
    </font>
    <font>
      <sz val="10"/>
      <name val="Calibri"/>
      <family val="2"/>
    </font>
    <font>
      <b/>
      <sz val="10"/>
      <name val="Calibri"/>
      <family val="2"/>
    </font>
    <font>
      <b/>
      <u val="single"/>
      <sz val="12"/>
      <color indexed="10"/>
      <name val="Arial"/>
      <family val="2"/>
    </font>
    <font>
      <b/>
      <sz val="12"/>
      <color indexed="12"/>
      <name val="Arial"/>
      <family val="2"/>
    </font>
    <font>
      <sz val="16"/>
      <name val="Arial"/>
      <family val="0"/>
    </font>
    <font>
      <b/>
      <u val="single"/>
      <sz val="14"/>
      <name val="Arial"/>
      <family val="2"/>
    </font>
    <font>
      <b/>
      <sz val="16"/>
      <name val="Calibri"/>
      <family val="2"/>
    </font>
    <font>
      <b/>
      <u val="single"/>
      <sz val="12"/>
      <name val="Arial"/>
      <family val="2"/>
    </font>
    <font>
      <sz val="11.5"/>
      <name val="Arial"/>
      <family val="2"/>
    </font>
    <font>
      <sz val="11"/>
      <color indexed="8"/>
      <name val="Arial"/>
      <family val="2"/>
    </font>
    <font>
      <b/>
      <u val="single"/>
      <sz val="11"/>
      <name val="Arial"/>
      <family val="2"/>
    </font>
    <font>
      <u val="single"/>
      <sz val="10"/>
      <name val="Arial"/>
      <family val="2"/>
    </font>
    <font>
      <b/>
      <sz val="10"/>
      <name val="Verdana"/>
      <family val="2"/>
    </font>
    <font>
      <vertAlign val="subscript"/>
      <sz val="11"/>
      <name val="Arial"/>
      <family val="2"/>
    </font>
    <font>
      <sz val="14"/>
      <name val="Rupee"/>
      <family val="0"/>
    </font>
    <font>
      <b/>
      <u val="single"/>
      <sz val="16"/>
      <name val="Arial"/>
      <family val="2"/>
    </font>
    <font>
      <b/>
      <sz val="10.5"/>
      <name val="Arial"/>
      <family val="0"/>
    </font>
    <font>
      <b/>
      <sz val="11"/>
      <name val="Copperplate Gothic Bold"/>
      <family val="0"/>
    </font>
    <font>
      <b/>
      <sz val="9"/>
      <name val="Arial"/>
      <family val="2"/>
    </font>
    <font>
      <b/>
      <u val="single"/>
      <sz val="10"/>
      <name val="Arial"/>
      <family val="2"/>
    </font>
    <font>
      <sz val="10"/>
      <color indexed="10"/>
      <name val="Arial"/>
      <family val="2"/>
    </font>
    <font>
      <b/>
      <sz val="11.5"/>
      <name val="Arial"/>
      <family val="2"/>
    </font>
    <font>
      <sz val="10"/>
      <name val="Verdana"/>
      <family val="2"/>
    </font>
    <font>
      <sz val="11"/>
      <color indexed="8"/>
      <name val="Calibri"/>
      <family val="2"/>
    </font>
    <font>
      <sz val="13"/>
      <name val="Arial"/>
      <family val="2"/>
    </font>
    <font>
      <b/>
      <sz val="13"/>
      <name val="Arial"/>
      <family val="2"/>
    </font>
    <font>
      <sz val="11"/>
      <name val="Times New Roman"/>
      <family val="1"/>
    </font>
    <font>
      <b/>
      <sz val="20"/>
      <name val="Arial"/>
      <family val="2"/>
    </font>
    <font>
      <b/>
      <sz val="14"/>
      <name val="Calibri"/>
      <family val="2"/>
    </font>
    <font>
      <b/>
      <sz val="28"/>
      <name val="Arial"/>
      <family val="2"/>
    </font>
    <font>
      <sz val="10"/>
      <color indexed="10"/>
      <name val="Verdana"/>
      <family val="2"/>
    </font>
    <font>
      <sz val="10"/>
      <color indexed="8"/>
      <name val="Verdana"/>
      <family val="2"/>
    </font>
    <font>
      <vertAlign val="subscript"/>
      <sz val="10"/>
      <name val="Verdana"/>
      <family val="2"/>
    </font>
    <font>
      <sz val="14"/>
      <color indexed="10"/>
      <name val="Arial"/>
      <family val="2"/>
    </font>
    <font>
      <sz val="12"/>
      <color indexed="10"/>
      <name val="Arial"/>
      <family val="2"/>
    </font>
    <font>
      <sz val="10"/>
      <color indexed="9"/>
      <name val="Verdana"/>
      <family val="2"/>
    </font>
    <font>
      <b/>
      <sz val="10"/>
      <color indexed="9"/>
      <name val="Verdana"/>
      <family val="2"/>
    </font>
    <font>
      <b/>
      <sz val="8"/>
      <color indexed="9"/>
      <name val="Verdana"/>
      <family val="2"/>
    </font>
    <font>
      <sz val="10"/>
      <color indexed="9"/>
      <name val="Arial"/>
      <family val="0"/>
    </font>
    <font>
      <sz val="9"/>
      <name val="Arial"/>
      <family val="0"/>
    </font>
    <font>
      <sz val="11.5"/>
      <color indexed="8"/>
      <name val="Arial"/>
      <family val="2"/>
    </font>
    <font>
      <sz val="10"/>
      <color indexed="15"/>
      <name val="Arial"/>
      <family val="0"/>
    </font>
    <font>
      <sz val="13.5"/>
      <name val="Arial"/>
      <family val="2"/>
    </font>
    <font>
      <b/>
      <u val="single"/>
      <sz val="13"/>
      <name val="Arial"/>
      <family val="2"/>
    </font>
    <font>
      <sz val="11"/>
      <color indexed="9"/>
      <name val="Arial"/>
      <family val="0"/>
    </font>
    <font>
      <u val="single"/>
      <sz val="12"/>
      <name val="Arial"/>
      <family val="2"/>
    </font>
    <font>
      <sz val="11"/>
      <color indexed="10"/>
      <name val="Arial"/>
      <family val="0"/>
    </font>
    <font>
      <sz val="8"/>
      <name val="Verdana"/>
      <family val="2"/>
    </font>
    <font>
      <b/>
      <sz val="9"/>
      <color indexed="58"/>
      <name val="Verdana"/>
      <family val="2"/>
    </font>
    <font>
      <b/>
      <i/>
      <sz val="10"/>
      <name val="Arial"/>
      <family val="2"/>
    </font>
    <font>
      <b/>
      <u val="single"/>
      <sz val="12"/>
      <color indexed="14"/>
      <name val="Arial"/>
      <family val="2"/>
    </font>
    <font>
      <sz val="9"/>
      <name val="Tahoma"/>
      <family val="0"/>
    </font>
    <font>
      <b/>
      <sz val="9"/>
      <name val="Tahom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3" fillId="2" borderId="0" applyNumberFormat="0" applyBorder="0" applyAlignment="0" applyProtection="0"/>
    <xf numFmtId="0" fontId="93" fillId="3" borderId="0" applyNumberFormat="0" applyBorder="0" applyAlignment="0" applyProtection="0"/>
    <xf numFmtId="0" fontId="93" fillId="4" borderId="0" applyNumberFormat="0" applyBorder="0" applyAlignment="0" applyProtection="0"/>
    <xf numFmtId="0" fontId="93" fillId="5" borderId="0" applyNumberFormat="0" applyBorder="0" applyAlignment="0" applyProtection="0"/>
    <xf numFmtId="0" fontId="93" fillId="6" borderId="0" applyNumberFormat="0" applyBorder="0" applyAlignment="0" applyProtection="0"/>
    <xf numFmtId="0" fontId="93" fillId="7" borderId="0" applyNumberFormat="0" applyBorder="0" applyAlignment="0" applyProtection="0"/>
    <xf numFmtId="0" fontId="93" fillId="8" borderId="0" applyNumberFormat="0" applyBorder="0" applyAlignment="0" applyProtection="0"/>
    <xf numFmtId="0" fontId="93" fillId="9" borderId="0" applyNumberFormat="0" applyBorder="0" applyAlignment="0" applyProtection="0"/>
    <xf numFmtId="0" fontId="93" fillId="10" borderId="0" applyNumberFormat="0" applyBorder="0" applyAlignment="0" applyProtection="0"/>
    <xf numFmtId="0" fontId="93" fillId="11" borderId="0" applyNumberFormat="0" applyBorder="0" applyAlignment="0" applyProtection="0"/>
    <xf numFmtId="0" fontId="93" fillId="12" borderId="0" applyNumberFormat="0" applyBorder="0" applyAlignment="0" applyProtection="0"/>
    <xf numFmtId="0" fontId="93"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0"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4"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5" fillId="25" borderId="0" applyNumberFormat="0" applyBorder="0" applyAlignment="0" applyProtection="0"/>
    <xf numFmtId="0" fontId="96" fillId="26" borderId="1" applyNumberFormat="0" applyAlignment="0" applyProtection="0"/>
    <xf numFmtId="0" fontId="97"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8" fillId="0" borderId="0" applyNumberFormat="0" applyFill="0" applyBorder="0" applyAlignment="0" applyProtection="0"/>
    <xf numFmtId="0" fontId="4" fillId="0" borderId="0" applyNumberFormat="0" applyFill="0" applyBorder="0" applyAlignment="0" applyProtection="0"/>
    <xf numFmtId="0" fontId="99" fillId="28" borderId="0" applyNumberFormat="0" applyBorder="0" applyAlignment="0" applyProtection="0"/>
    <xf numFmtId="0" fontId="100" fillId="0" borderId="3" applyNumberFormat="0" applyFill="0" applyAlignment="0" applyProtection="0"/>
    <xf numFmtId="0" fontId="101" fillId="0" borderId="4" applyNumberFormat="0" applyFill="0" applyAlignment="0" applyProtection="0"/>
    <xf numFmtId="0" fontId="102" fillId="0" borderId="5" applyNumberFormat="0" applyFill="0" applyAlignment="0" applyProtection="0"/>
    <xf numFmtId="0" fontId="102" fillId="0" borderId="0" applyNumberFormat="0" applyFill="0" applyBorder="0" applyAlignment="0" applyProtection="0"/>
    <xf numFmtId="0" fontId="3" fillId="0" borderId="0" applyNumberFormat="0" applyFill="0" applyBorder="0" applyAlignment="0" applyProtection="0"/>
    <xf numFmtId="0" fontId="103" fillId="29" borderId="1" applyNumberFormat="0" applyAlignment="0" applyProtection="0"/>
    <xf numFmtId="0" fontId="104" fillId="0" borderId="6" applyNumberFormat="0" applyFill="0" applyAlignment="0" applyProtection="0"/>
    <xf numFmtId="0" fontId="105" fillId="30" borderId="0" applyNumberFormat="0" applyBorder="0" applyAlignment="0" applyProtection="0"/>
    <xf numFmtId="0" fontId="46" fillId="0" borderId="0">
      <alignment/>
      <protection/>
    </xf>
    <xf numFmtId="0" fontId="46" fillId="0" borderId="0">
      <alignment/>
      <protection/>
    </xf>
    <xf numFmtId="0" fontId="0"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4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3" fillId="0" borderId="0">
      <alignment/>
      <protection/>
    </xf>
    <xf numFmtId="0" fontId="0" fillId="0" borderId="0">
      <alignment/>
      <protection/>
    </xf>
    <xf numFmtId="0" fontId="0" fillId="31" borderId="7" applyNumberFormat="0" applyFont="0" applyAlignment="0" applyProtection="0"/>
    <xf numFmtId="0" fontId="106" fillId="26" borderId="8" applyNumberFormat="0" applyAlignment="0" applyProtection="0"/>
    <xf numFmtId="9" fontId="0" fillId="0" borderId="0" applyFont="0" applyFill="0" applyBorder="0" applyAlignment="0" applyProtection="0"/>
    <xf numFmtId="0" fontId="107" fillId="0" borderId="0" applyNumberFormat="0" applyFill="0" applyBorder="0" applyAlignment="0" applyProtection="0"/>
    <xf numFmtId="0" fontId="108" fillId="0" borderId="9" applyNumberFormat="0" applyFill="0" applyAlignment="0" applyProtection="0"/>
    <xf numFmtId="0" fontId="109" fillId="0" borderId="0" applyNumberFormat="0" applyFill="0" applyBorder="0" applyAlignment="0" applyProtection="0"/>
  </cellStyleXfs>
  <cellXfs count="1606">
    <xf numFmtId="0" fontId="0" fillId="0" borderId="0" xfId="0" applyAlignment="1">
      <alignment/>
    </xf>
    <xf numFmtId="49" fontId="0" fillId="0" borderId="0" xfId="0" applyNumberFormat="1" applyFill="1" applyAlignment="1">
      <alignment wrapText="1"/>
    </xf>
    <xf numFmtId="0" fontId="0" fillId="0" borderId="0" xfId="0" applyFill="1" applyAlignment="1">
      <alignment/>
    </xf>
    <xf numFmtId="49" fontId="6" fillId="0" borderId="10" xfId="0" applyNumberFormat="1" applyFont="1" applyFill="1" applyBorder="1" applyAlignment="1">
      <alignment horizontal="center" vertical="center" wrapText="1"/>
    </xf>
    <xf numFmtId="2"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top" wrapText="1"/>
    </xf>
    <xf numFmtId="2" fontId="5" fillId="0" borderId="10" xfId="0" applyNumberFormat="1" applyFont="1" applyFill="1" applyBorder="1" applyAlignment="1">
      <alignment horizontal="center" vertical="center" wrapText="1"/>
    </xf>
    <xf numFmtId="49" fontId="6" fillId="0" borderId="0" xfId="0" applyNumberFormat="1" applyFont="1" applyFill="1" applyBorder="1" applyAlignment="1">
      <alignment wrapText="1"/>
    </xf>
    <xf numFmtId="49" fontId="6" fillId="0" borderId="0" xfId="0" applyNumberFormat="1" applyFont="1" applyFill="1" applyBorder="1" applyAlignment="1">
      <alignment horizontal="center" wrapText="1"/>
    </xf>
    <xf numFmtId="2" fontId="6" fillId="0" borderId="0" xfId="0" applyNumberFormat="1" applyFont="1" applyFill="1" applyBorder="1" applyAlignment="1">
      <alignment horizontal="right" wrapText="1"/>
    </xf>
    <xf numFmtId="2" fontId="5" fillId="0" borderId="0" xfId="0" applyNumberFormat="1" applyFont="1" applyFill="1" applyBorder="1" applyAlignment="1">
      <alignment horizontal="right" wrapText="1"/>
    </xf>
    <xf numFmtId="49" fontId="0" fillId="0" borderId="0" xfId="0" applyNumberFormat="1" applyFill="1" applyAlignment="1">
      <alignment horizontal="center" wrapText="1"/>
    </xf>
    <xf numFmtId="2" fontId="0" fillId="0" borderId="0" xfId="0" applyNumberFormat="1" applyFill="1" applyAlignment="1">
      <alignment horizontal="right" wrapText="1"/>
    </xf>
    <xf numFmtId="0" fontId="6" fillId="0" borderId="0" xfId="0" applyFont="1" applyFill="1" applyAlignment="1">
      <alignment/>
    </xf>
    <xf numFmtId="0" fontId="6" fillId="0" borderId="0" xfId="0" applyFont="1" applyFill="1" applyAlignment="1">
      <alignment/>
    </xf>
    <xf numFmtId="0" fontId="6" fillId="0" borderId="0" xfId="0" applyNumberFormat="1" applyFont="1" applyFill="1" applyAlignment="1">
      <alignment/>
    </xf>
    <xf numFmtId="0" fontId="6" fillId="0" borderId="0" xfId="0" applyFont="1" applyFill="1" applyAlignment="1">
      <alignment horizontal="center"/>
    </xf>
    <xf numFmtId="2" fontId="6" fillId="0" borderId="0" xfId="0" applyNumberFormat="1" applyFont="1" applyFill="1" applyAlignment="1">
      <alignment horizontal="center"/>
    </xf>
    <xf numFmtId="0" fontId="0" fillId="0" borderId="0" xfId="0" applyNumberFormat="1" applyFill="1" applyAlignment="1">
      <alignment/>
    </xf>
    <xf numFmtId="0" fontId="6" fillId="0" borderId="10" xfId="0" applyNumberFormat="1" applyFont="1" applyFill="1" applyBorder="1" applyAlignment="1">
      <alignment horizontal="center" vertical="center" wrapText="1"/>
    </xf>
    <xf numFmtId="0" fontId="11" fillId="0" borderId="0" xfId="0" applyFont="1" applyFill="1" applyAlignment="1">
      <alignment vertical="top"/>
    </xf>
    <xf numFmtId="0" fontId="11" fillId="0" borderId="0" xfId="0" applyFont="1" applyFill="1" applyBorder="1" applyAlignment="1">
      <alignment horizontal="center" vertical="top"/>
    </xf>
    <xf numFmtId="0" fontId="0" fillId="0" borderId="0" xfId="0" applyFill="1" applyBorder="1" applyAlignment="1">
      <alignment horizontal="center" vertical="top"/>
    </xf>
    <xf numFmtId="0" fontId="5" fillId="0" borderId="0" xfId="0" applyFont="1" applyFill="1" applyBorder="1" applyAlignment="1">
      <alignment horizontal="center" vertical="top"/>
    </xf>
    <xf numFmtId="49" fontId="0" fillId="0" borderId="0" xfId="61" applyNumberFormat="1" applyFill="1" applyAlignment="1">
      <alignment wrapText="1"/>
      <protection/>
    </xf>
    <xf numFmtId="0" fontId="0" fillId="0" borderId="0" xfId="61" applyNumberFormat="1" applyFill="1" applyAlignment="1">
      <alignment wrapText="1"/>
      <protection/>
    </xf>
    <xf numFmtId="49" fontId="0" fillId="0" borderId="0" xfId="61" applyNumberFormat="1" applyFill="1" applyAlignment="1">
      <alignment horizontal="center" wrapText="1"/>
      <protection/>
    </xf>
    <xf numFmtId="2" fontId="0" fillId="0" borderId="0" xfId="61" applyNumberFormat="1" applyFill="1" applyAlignment="1">
      <alignment horizontal="right" wrapText="1"/>
      <protection/>
    </xf>
    <xf numFmtId="2" fontId="17" fillId="0" borderId="0" xfId="61" applyNumberFormat="1" applyFont="1" applyFill="1" applyAlignment="1">
      <alignment horizontal="right" wrapText="1"/>
      <protection/>
    </xf>
    <xf numFmtId="49" fontId="16" fillId="0" borderId="0" xfId="61" applyNumberFormat="1" applyFont="1" applyFill="1" applyBorder="1" applyAlignment="1">
      <alignment wrapText="1"/>
      <protection/>
    </xf>
    <xf numFmtId="0" fontId="5" fillId="0" borderId="10" xfId="0" applyFont="1" applyFill="1" applyBorder="1" applyAlignment="1">
      <alignment horizontal="center" vertical="center" wrapText="1"/>
    </xf>
    <xf numFmtId="0" fontId="16" fillId="0" borderId="0" xfId="0" applyFont="1" applyFill="1" applyAlignment="1">
      <alignment/>
    </xf>
    <xf numFmtId="0" fontId="16" fillId="0" borderId="0" xfId="0" applyFont="1" applyFill="1" applyAlignment="1">
      <alignment horizontal="center"/>
    </xf>
    <xf numFmtId="0" fontId="5" fillId="0" borderId="0" xfId="0" applyFont="1" applyFill="1" applyAlignment="1">
      <alignment vertical="center" wrapText="1"/>
    </xf>
    <xf numFmtId="0" fontId="5" fillId="0" borderId="0" xfId="0" applyFont="1" applyFill="1" applyAlignment="1">
      <alignment horizontal="center" vertical="center"/>
    </xf>
    <xf numFmtId="0" fontId="5" fillId="0" borderId="10" xfId="0" applyFont="1" applyFill="1" applyBorder="1" applyAlignment="1">
      <alignment horizontal="center" vertical="center"/>
    </xf>
    <xf numFmtId="0" fontId="17" fillId="0" borderId="0" xfId="0" applyFont="1" applyFill="1" applyAlignment="1">
      <alignment/>
    </xf>
    <xf numFmtId="0" fontId="2" fillId="0" borderId="0" xfId="0" applyFont="1" applyFill="1" applyAlignment="1">
      <alignment horizontal="center"/>
    </xf>
    <xf numFmtId="0" fontId="5" fillId="0" borderId="0" xfId="0" applyFont="1" applyFill="1" applyBorder="1" applyAlignment="1">
      <alignment vertical="top"/>
    </xf>
    <xf numFmtId="49" fontId="16" fillId="0" borderId="0" xfId="61" applyNumberFormat="1" applyFont="1" applyFill="1" applyAlignment="1">
      <alignment wrapText="1"/>
      <protection/>
    </xf>
    <xf numFmtId="49" fontId="16" fillId="0" borderId="0" xfId="61" applyNumberFormat="1" applyFont="1" applyFill="1" applyAlignment="1">
      <alignment horizontal="center" wrapText="1"/>
      <protection/>
    </xf>
    <xf numFmtId="49" fontId="5" fillId="0" borderId="0" xfId="61" applyNumberFormat="1" applyFont="1" applyFill="1" applyAlignment="1">
      <alignment horizontal="center" vertical="center" wrapText="1"/>
      <protection/>
    </xf>
    <xf numFmtId="49" fontId="1" fillId="0" borderId="0" xfId="61" applyNumberFormat="1" applyFont="1" applyFill="1" applyAlignment="1">
      <alignment wrapText="1"/>
      <protection/>
    </xf>
    <xf numFmtId="49" fontId="0" fillId="0" borderId="0" xfId="61" applyNumberFormat="1" applyFont="1" applyFill="1" applyAlignment="1">
      <alignment wrapText="1"/>
      <protection/>
    </xf>
    <xf numFmtId="0" fontId="5" fillId="0" borderId="0" xfId="0" applyFont="1" applyFill="1" applyBorder="1" applyAlignment="1">
      <alignment vertical="center"/>
    </xf>
    <xf numFmtId="0" fontId="2" fillId="0"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11" xfId="0" applyFont="1" applyFill="1" applyBorder="1" applyAlignment="1">
      <alignment horizontal="center" vertical="center" wrapText="1"/>
    </xf>
    <xf numFmtId="0" fontId="14" fillId="0" borderId="0" xfId="0" applyFont="1" applyFill="1" applyAlignment="1">
      <alignment/>
    </xf>
    <xf numFmtId="0" fontId="11" fillId="0" borderId="0" xfId="0" applyFont="1" applyFill="1" applyBorder="1" applyAlignment="1">
      <alignment vertical="center"/>
    </xf>
    <xf numFmtId="49" fontId="11" fillId="0" borderId="0" xfId="61" applyNumberFormat="1" applyFont="1" applyFill="1" applyAlignment="1">
      <alignment wrapText="1"/>
      <protection/>
    </xf>
    <xf numFmtId="49" fontId="11" fillId="0" borderId="0" xfId="61" applyNumberFormat="1" applyFont="1" applyFill="1" applyAlignment="1">
      <alignment horizontal="center" wrapText="1"/>
      <protection/>
    </xf>
    <xf numFmtId="2" fontId="6" fillId="0" borderId="0" xfId="0" applyNumberFormat="1" applyFont="1" applyFill="1" applyBorder="1" applyAlignment="1">
      <alignment horizontal="center" vertical="center" wrapText="1"/>
    </xf>
    <xf numFmtId="2" fontId="5" fillId="0" borderId="0" xfId="0" applyNumberFormat="1" applyFont="1" applyFill="1" applyBorder="1" applyAlignment="1">
      <alignment horizontal="center" vertical="center" wrapText="1"/>
    </xf>
    <xf numFmtId="49" fontId="0" fillId="0" borderId="0" xfId="0" applyNumberFormat="1" applyFont="1" applyFill="1" applyAlignment="1">
      <alignment vertical="top" wrapText="1"/>
    </xf>
    <xf numFmtId="0" fontId="0" fillId="0" borderId="0" xfId="0" applyFill="1" applyAlignment="1">
      <alignment vertical="top" wrapText="1"/>
    </xf>
    <xf numFmtId="0" fontId="0" fillId="0" borderId="0" xfId="0" applyFont="1" applyFill="1" applyAlignment="1">
      <alignment/>
    </xf>
    <xf numFmtId="0" fontId="5" fillId="0" borderId="0" xfId="0" applyFont="1" applyFill="1" applyAlignment="1">
      <alignment horizontal="left"/>
    </xf>
    <xf numFmtId="0" fontId="6" fillId="0" borderId="0" xfId="0" applyFont="1" applyFill="1" applyAlignment="1">
      <alignment horizontal="left"/>
    </xf>
    <xf numFmtId="0" fontId="0" fillId="0" borderId="0" xfId="0" applyFill="1" applyAlignment="1">
      <alignment horizontal="left" vertical="top"/>
    </xf>
    <xf numFmtId="0" fontId="0" fillId="0" borderId="0" xfId="0" applyFill="1" applyAlignment="1">
      <alignment horizontal="left"/>
    </xf>
    <xf numFmtId="49" fontId="1" fillId="0" borderId="0" xfId="0" applyNumberFormat="1" applyFont="1" applyFill="1" applyAlignment="1">
      <alignment wrapText="1"/>
    </xf>
    <xf numFmtId="2" fontId="14" fillId="0" borderId="0" xfId="0" applyNumberFormat="1" applyFont="1" applyFill="1" applyAlignment="1">
      <alignment/>
    </xf>
    <xf numFmtId="0" fontId="0" fillId="0" borderId="0" xfId="0" applyFont="1" applyFill="1" applyAlignment="1">
      <alignment/>
    </xf>
    <xf numFmtId="0" fontId="0" fillId="0" borderId="0" xfId="0" applyNumberFormat="1" applyFill="1" applyAlignment="1">
      <alignment horizontal="center" wrapText="1"/>
    </xf>
    <xf numFmtId="1" fontId="5" fillId="0" borderId="10" xfId="0" applyNumberFormat="1" applyFont="1" applyFill="1" applyBorder="1" applyAlignment="1">
      <alignment horizontal="center" vertical="center" wrapText="1"/>
    </xf>
    <xf numFmtId="0" fontId="6" fillId="0" borderId="0" xfId="0" applyFont="1" applyFill="1" applyBorder="1" applyAlignment="1">
      <alignment horizontal="left"/>
    </xf>
    <xf numFmtId="0" fontId="6" fillId="0" borderId="0" xfId="0" applyFont="1" applyFill="1" applyBorder="1" applyAlignment="1">
      <alignment/>
    </xf>
    <xf numFmtId="0" fontId="6" fillId="0" borderId="0" xfId="0" applyNumberFormat="1" applyFont="1" applyFill="1" applyBorder="1" applyAlignment="1">
      <alignment/>
    </xf>
    <xf numFmtId="0" fontId="5" fillId="0" borderId="0" xfId="0" applyFont="1" applyFill="1" applyBorder="1" applyAlignment="1">
      <alignment horizontal="center"/>
    </xf>
    <xf numFmtId="49" fontId="0" fillId="0" borderId="0" xfId="0" applyNumberFormat="1" applyFont="1" applyFill="1" applyBorder="1" applyAlignment="1">
      <alignment wrapText="1"/>
    </xf>
    <xf numFmtId="2" fontId="0" fillId="0" borderId="0" xfId="0" applyNumberFormat="1" applyFont="1" applyFill="1" applyBorder="1" applyAlignment="1">
      <alignment horizontal="right" wrapText="1"/>
    </xf>
    <xf numFmtId="49" fontId="5" fillId="0" borderId="0"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6" fillId="0" borderId="0" xfId="0" applyNumberFormat="1" applyFont="1" applyFill="1" applyBorder="1" applyAlignment="1">
      <alignment horizontal="center" wrapText="1"/>
    </xf>
    <xf numFmtId="0" fontId="5" fillId="0" borderId="0" xfId="0" applyFont="1" applyFill="1" applyAlignment="1">
      <alignment horizontal="center"/>
    </xf>
    <xf numFmtId="0" fontId="5" fillId="0" borderId="0" xfId="0" applyFont="1" applyFill="1" applyBorder="1" applyAlignment="1">
      <alignment horizontal="center" vertical="center" wrapText="1"/>
    </xf>
    <xf numFmtId="0" fontId="11" fillId="0" borderId="0" xfId="0" applyFont="1" applyFill="1" applyBorder="1" applyAlignment="1">
      <alignment vertical="top"/>
    </xf>
    <xf numFmtId="0" fontId="0" fillId="0" borderId="0" xfId="0" applyFill="1" applyAlignment="1">
      <alignment horizontal="center"/>
    </xf>
    <xf numFmtId="0" fontId="11" fillId="0" borderId="0" xfId="0" applyFont="1" applyFill="1" applyBorder="1" applyAlignment="1">
      <alignment/>
    </xf>
    <xf numFmtId="0" fontId="11" fillId="0" borderId="0" xfId="0" applyFont="1" applyFill="1" applyBorder="1" applyAlignment="1">
      <alignment horizontal="center"/>
    </xf>
    <xf numFmtId="0" fontId="5" fillId="0" borderId="0" xfId="0" applyFont="1" applyFill="1" applyBorder="1" applyAlignment="1">
      <alignment vertical="center" wrapText="1"/>
    </xf>
    <xf numFmtId="0" fontId="2" fillId="0" borderId="10" xfId="0" applyFont="1" applyFill="1" applyBorder="1" applyAlignment="1">
      <alignment horizontal="center"/>
    </xf>
    <xf numFmtId="0" fontId="17" fillId="0" borderId="0" xfId="0" applyFont="1" applyFill="1" applyAlignment="1">
      <alignment/>
    </xf>
    <xf numFmtId="0" fontId="6" fillId="0" borderId="0" xfId="0" applyFont="1" applyFill="1" applyBorder="1" applyAlignment="1">
      <alignment horizontal="center"/>
    </xf>
    <xf numFmtId="1" fontId="6" fillId="0" borderId="0" xfId="0" applyNumberFormat="1" applyFont="1" applyFill="1" applyBorder="1" applyAlignment="1">
      <alignment wrapText="1"/>
    </xf>
    <xf numFmtId="0" fontId="6"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6" fillId="0" borderId="0" xfId="0" applyNumberFormat="1" applyFont="1" applyFill="1" applyBorder="1" applyAlignment="1">
      <alignment vertical="center" wrapText="1"/>
    </xf>
    <xf numFmtId="0" fontId="6" fillId="0" borderId="0" xfId="0" applyFont="1" applyFill="1" applyBorder="1" applyAlignment="1">
      <alignment vertical="center" wrapText="1"/>
    </xf>
    <xf numFmtId="0" fontId="6" fillId="0" borderId="10" xfId="0" applyFont="1" applyFill="1" applyBorder="1" applyAlignment="1">
      <alignment horizontal="left"/>
    </xf>
    <xf numFmtId="0" fontId="6" fillId="0" borderId="10" xfId="0" applyFont="1" applyFill="1" applyBorder="1" applyAlignment="1">
      <alignment/>
    </xf>
    <xf numFmtId="0" fontId="6" fillId="0" borderId="10" xfId="0" applyNumberFormat="1" applyFont="1" applyFill="1" applyBorder="1" applyAlignment="1">
      <alignment/>
    </xf>
    <xf numFmtId="0" fontId="6" fillId="0" borderId="0" xfId="0" applyFont="1" applyFill="1" applyAlignment="1">
      <alignment vertical="top" wrapText="1"/>
    </xf>
    <xf numFmtId="4" fontId="0" fillId="0" borderId="0" xfId="0" applyNumberFormat="1" applyFont="1" applyFill="1" applyBorder="1" applyAlignment="1">
      <alignment horizontal="center" wrapText="1"/>
    </xf>
    <xf numFmtId="0" fontId="20" fillId="0" borderId="0" xfId="0" applyFont="1" applyFill="1" applyAlignment="1">
      <alignment vertical="center"/>
    </xf>
    <xf numFmtId="0" fontId="1" fillId="0" borderId="0" xfId="0" applyFont="1" applyFill="1" applyAlignment="1">
      <alignment vertical="center"/>
    </xf>
    <xf numFmtId="49" fontId="6" fillId="0" borderId="0" xfId="0" applyNumberFormat="1" applyFont="1" applyFill="1" applyBorder="1" applyAlignment="1">
      <alignment vertical="center" wrapText="1"/>
    </xf>
    <xf numFmtId="0" fontId="6" fillId="0" borderId="0"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0" fontId="16" fillId="0" borderId="0" xfId="0" applyFont="1" applyFill="1" applyBorder="1" applyAlignment="1">
      <alignment vertical="center"/>
    </xf>
    <xf numFmtId="0" fontId="23" fillId="0" borderId="0" xfId="0" applyFont="1" applyFill="1" applyBorder="1" applyAlignment="1">
      <alignment vertical="center"/>
    </xf>
    <xf numFmtId="0" fontId="23" fillId="0" borderId="0" xfId="68" applyFont="1" applyFill="1">
      <alignment/>
      <protection/>
    </xf>
    <xf numFmtId="49" fontId="0" fillId="0" borderId="0" xfId="0" applyNumberFormat="1" applyFont="1" applyFill="1" applyBorder="1" applyAlignment="1">
      <alignment vertical="center" wrapText="1"/>
    </xf>
    <xf numFmtId="0" fontId="0" fillId="0" borderId="0" xfId="0" applyFill="1" applyAlignment="1">
      <alignment vertical="center" wrapText="1"/>
    </xf>
    <xf numFmtId="0" fontId="0" fillId="0" borderId="0" xfId="0" applyFill="1" applyAlignment="1">
      <alignment vertical="center"/>
    </xf>
    <xf numFmtId="0" fontId="0" fillId="0" borderId="0" xfId="0" applyFill="1" applyAlignment="1">
      <alignment/>
    </xf>
    <xf numFmtId="49" fontId="11" fillId="0" borderId="0" xfId="0" applyNumberFormat="1" applyFont="1" applyFill="1" applyAlignment="1">
      <alignment wrapText="1"/>
    </xf>
    <xf numFmtId="49" fontId="11" fillId="0" borderId="0" xfId="0" applyNumberFormat="1" applyFont="1" applyFill="1" applyAlignment="1">
      <alignment horizontal="center" wrapText="1"/>
    </xf>
    <xf numFmtId="49" fontId="5" fillId="0" borderId="0" xfId="0" applyNumberFormat="1" applyFont="1" applyFill="1" applyAlignment="1">
      <alignment wrapText="1"/>
    </xf>
    <xf numFmtId="49" fontId="0" fillId="0" borderId="0" xfId="0" applyNumberFormat="1" applyFill="1" applyBorder="1" applyAlignment="1">
      <alignment wrapText="1"/>
    </xf>
    <xf numFmtId="0" fontId="0" fillId="0" borderId="0" xfId="0" applyNumberFormat="1" applyFill="1" applyBorder="1" applyAlignment="1">
      <alignment horizontal="center" wrapText="1"/>
    </xf>
    <xf numFmtId="49" fontId="0" fillId="0" borderId="0" xfId="0" applyNumberFormat="1" applyFill="1" applyBorder="1" applyAlignment="1">
      <alignment horizontal="center" wrapText="1"/>
    </xf>
    <xf numFmtId="2" fontId="0" fillId="0" borderId="0" xfId="0" applyNumberFormat="1" applyFill="1" applyBorder="1" applyAlignment="1">
      <alignment horizontal="right" wrapText="1"/>
    </xf>
    <xf numFmtId="2" fontId="5" fillId="0" borderId="0" xfId="0" applyNumberFormat="1" applyFont="1" applyFill="1" applyAlignment="1">
      <alignment horizontal="center" wrapText="1"/>
    </xf>
    <xf numFmtId="0" fontId="5" fillId="0" borderId="10" xfId="0" applyNumberFormat="1" applyFont="1" applyFill="1" applyBorder="1" applyAlignment="1">
      <alignment horizontal="center" vertical="center" wrapText="1"/>
    </xf>
    <xf numFmtId="49" fontId="17" fillId="0" borderId="0" xfId="0" applyNumberFormat="1" applyFont="1" applyFill="1" applyAlignment="1">
      <alignment vertical="center" wrapText="1"/>
    </xf>
    <xf numFmtId="49" fontId="5" fillId="0" borderId="0" xfId="0" applyNumberFormat="1" applyFont="1" applyFill="1" applyAlignment="1">
      <alignment vertical="center" wrapText="1"/>
    </xf>
    <xf numFmtId="0" fontId="7" fillId="0" borderId="0" xfId="0" applyNumberFormat="1" applyFont="1" applyFill="1" applyAlignment="1">
      <alignment wrapText="1"/>
    </xf>
    <xf numFmtId="49" fontId="19" fillId="0" borderId="0" xfId="0" applyNumberFormat="1" applyFont="1" applyFill="1" applyBorder="1" applyAlignment="1">
      <alignment horizontal="center" wrapText="1"/>
    </xf>
    <xf numFmtId="2" fontId="0" fillId="0" borderId="0" xfId="0" applyNumberFormat="1" applyFill="1" applyAlignment="1">
      <alignment wrapText="1"/>
    </xf>
    <xf numFmtId="0" fontId="0" fillId="0" borderId="0" xfId="0" applyNumberFormat="1" applyFill="1" applyAlignment="1">
      <alignment wrapText="1"/>
    </xf>
    <xf numFmtId="0" fontId="26" fillId="0" borderId="11" xfId="0" applyFont="1" applyFill="1" applyBorder="1" applyAlignment="1" applyProtection="1">
      <alignment/>
      <protection/>
    </xf>
    <xf numFmtId="0" fontId="5" fillId="0" borderId="10" xfId="0" applyFont="1" applyFill="1" applyBorder="1" applyAlignment="1" applyProtection="1">
      <alignment horizontal="center" vertical="center" wrapText="1"/>
      <protection/>
    </xf>
    <xf numFmtId="0" fontId="17" fillId="0" borderId="0" xfId="0" applyFont="1" applyFill="1" applyAlignment="1">
      <alignment vertical="center"/>
    </xf>
    <xf numFmtId="0" fontId="11" fillId="0" borderId="0" xfId="0" applyFont="1" applyFill="1" applyAlignment="1">
      <alignment/>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49" fontId="11" fillId="0" borderId="0" xfId="0" applyNumberFormat="1" applyFont="1" applyFill="1" applyAlignment="1">
      <alignment vertical="center" wrapText="1"/>
    </xf>
    <xf numFmtId="49" fontId="11" fillId="0" borderId="0" xfId="0" applyNumberFormat="1" applyFont="1" applyFill="1" applyAlignment="1">
      <alignment horizontal="center" vertical="center" wrapText="1"/>
    </xf>
    <xf numFmtId="49" fontId="11" fillId="0" borderId="0" xfId="0" applyNumberFormat="1" applyFont="1" applyFill="1" applyBorder="1" applyAlignment="1">
      <alignment horizontal="center" vertical="center" wrapText="1"/>
    </xf>
    <xf numFmtId="49" fontId="0" fillId="0" borderId="14" xfId="0" applyNumberFormat="1" applyFill="1" applyBorder="1" applyAlignment="1">
      <alignment wrapText="1"/>
    </xf>
    <xf numFmtId="49" fontId="13" fillId="0" borderId="0" xfId="61" applyNumberFormat="1" applyFont="1" applyFill="1" applyAlignment="1">
      <alignment wrapText="1"/>
      <protection/>
    </xf>
    <xf numFmtId="0" fontId="5" fillId="0" borderId="12"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2" fontId="17" fillId="0" borderId="0" xfId="0" applyNumberFormat="1" applyFont="1" applyFill="1" applyBorder="1" applyAlignment="1">
      <alignment horizontal="center" vertical="center" wrapText="1"/>
    </xf>
    <xf numFmtId="0" fontId="14" fillId="0" borderId="0" xfId="0" applyFont="1" applyFill="1" applyAlignment="1">
      <alignment horizontal="center"/>
    </xf>
    <xf numFmtId="2" fontId="5" fillId="0" borderId="10" xfId="61" applyNumberFormat="1" applyFont="1" applyFill="1" applyBorder="1" applyAlignment="1">
      <alignment horizontal="center" vertical="center" wrapText="1"/>
      <protection/>
    </xf>
    <xf numFmtId="0" fontId="5" fillId="0" borderId="10" xfId="61" applyNumberFormat="1" applyFont="1" applyFill="1" applyBorder="1" applyAlignment="1">
      <alignment horizontal="center" vertical="center" wrapText="1"/>
      <protection/>
    </xf>
    <xf numFmtId="0" fontId="5" fillId="0" borderId="13" xfId="61" applyFont="1" applyFill="1" applyBorder="1" applyAlignment="1">
      <alignment horizontal="center" vertical="center" wrapText="1"/>
      <protection/>
    </xf>
    <xf numFmtId="1" fontId="5" fillId="0" borderId="10" xfId="61" applyNumberFormat="1" applyFont="1" applyFill="1" applyBorder="1" applyAlignment="1">
      <alignment horizontal="center" vertical="center" wrapText="1"/>
      <protection/>
    </xf>
    <xf numFmtId="0" fontId="23" fillId="0" borderId="0" xfId="68" applyFont="1" applyFill="1" applyAlignment="1">
      <alignment/>
      <protection/>
    </xf>
    <xf numFmtId="0" fontId="24" fillId="0" borderId="0" xfId="68" applyFont="1" applyFill="1" applyAlignment="1">
      <alignment horizontal="right"/>
      <protection/>
    </xf>
    <xf numFmtId="49" fontId="17" fillId="0" borderId="0" xfId="0" applyNumberFormat="1" applyFont="1" applyFill="1" applyBorder="1" applyAlignment="1">
      <alignment vertical="center" wrapText="1"/>
    </xf>
    <xf numFmtId="0" fontId="0" fillId="0" borderId="0" xfId="0" applyFill="1" applyBorder="1" applyAlignment="1">
      <alignment/>
    </xf>
    <xf numFmtId="0" fontId="1"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0" fillId="0" borderId="0" xfId="0" applyFont="1" applyFill="1" applyBorder="1" applyAlignment="1">
      <alignment horizontal="center" vertical="top" wrapText="1"/>
    </xf>
    <xf numFmtId="0" fontId="0" fillId="0" borderId="0" xfId="0" applyFill="1" applyBorder="1" applyAlignment="1">
      <alignment/>
    </xf>
    <xf numFmtId="0" fontId="27" fillId="0" borderId="0" xfId="0" applyFont="1" applyFill="1" applyAlignment="1">
      <alignment/>
    </xf>
    <xf numFmtId="0" fontId="1" fillId="0" borderId="0" xfId="0" applyFont="1" applyFill="1" applyAlignment="1">
      <alignment/>
    </xf>
    <xf numFmtId="0" fontId="5" fillId="0" borderId="0" xfId="0" applyFont="1" applyFill="1" applyBorder="1" applyAlignment="1">
      <alignment/>
    </xf>
    <xf numFmtId="0" fontId="6" fillId="0" borderId="0" xfId="0" applyFont="1" applyFill="1" applyBorder="1" applyAlignment="1">
      <alignment horizontal="center" vertical="top" wrapText="1"/>
    </xf>
    <xf numFmtId="0" fontId="6" fillId="0" borderId="0" xfId="0" applyFont="1" applyFill="1" applyBorder="1" applyAlignment="1" quotePrefix="1">
      <alignment horizontal="center" vertical="center" wrapText="1"/>
    </xf>
    <xf numFmtId="0" fontId="5" fillId="0" borderId="0" xfId="0" applyFont="1" applyFill="1" applyBorder="1" applyAlignment="1">
      <alignment horizontal="center" vertical="center"/>
    </xf>
    <xf numFmtId="0" fontId="14" fillId="0" borderId="0" xfId="0" applyFont="1" applyFill="1" applyAlignment="1">
      <alignment/>
    </xf>
    <xf numFmtId="0" fontId="17" fillId="0" borderId="0" xfId="0" applyFont="1" applyFill="1" applyBorder="1" applyAlignment="1">
      <alignment/>
    </xf>
    <xf numFmtId="0" fontId="14" fillId="0" borderId="0" xfId="0" applyFont="1" applyFill="1" applyBorder="1" applyAlignment="1">
      <alignment/>
    </xf>
    <xf numFmtId="0" fontId="17" fillId="0" borderId="0" xfId="0" applyFont="1" applyFill="1" applyBorder="1" applyAlignment="1">
      <alignment vertical="center" wrapText="1"/>
    </xf>
    <xf numFmtId="0" fontId="17" fillId="0" borderId="0" xfId="0" applyFont="1" applyFill="1" applyBorder="1" applyAlignment="1">
      <alignment/>
    </xf>
    <xf numFmtId="0" fontId="17" fillId="0" borderId="0" xfId="0" applyFont="1" applyFill="1" applyBorder="1" applyAlignment="1">
      <alignment vertical="top" wrapText="1"/>
    </xf>
    <xf numFmtId="0" fontId="17" fillId="0" borderId="0" xfId="0" applyFont="1" applyFill="1" applyBorder="1" applyAlignment="1">
      <alignment horizontal="left" vertical="center" wrapText="1"/>
    </xf>
    <xf numFmtId="0" fontId="17" fillId="0" borderId="0" xfId="0" applyFont="1" applyFill="1" applyBorder="1" applyAlignment="1">
      <alignment horizontal="left" vertical="top" wrapText="1"/>
    </xf>
    <xf numFmtId="0" fontId="17" fillId="0" borderId="0" xfId="0" applyFont="1" applyFill="1" applyBorder="1" applyAlignment="1">
      <alignment horizontal="center" vertical="top" wrapText="1"/>
    </xf>
    <xf numFmtId="2" fontId="17" fillId="0" borderId="0" xfId="0" applyNumberFormat="1" applyFont="1" applyFill="1" applyBorder="1" applyAlignment="1">
      <alignment horizontal="center" vertical="top" wrapText="1"/>
    </xf>
    <xf numFmtId="0" fontId="2" fillId="0" borderId="0" xfId="0" applyFont="1" applyFill="1" applyBorder="1" applyAlignment="1">
      <alignment vertical="top" wrapText="1"/>
    </xf>
    <xf numFmtId="0" fontId="5" fillId="0" borderId="12" xfId="0" applyFont="1" applyFill="1" applyBorder="1" applyAlignment="1">
      <alignment horizontal="center" vertical="center"/>
    </xf>
    <xf numFmtId="0" fontId="2" fillId="0" borderId="15" xfId="0" applyFont="1" applyFill="1" applyBorder="1" applyAlignment="1">
      <alignment horizontal="center"/>
    </xf>
    <xf numFmtId="49" fontId="14" fillId="0" borderId="0" xfId="61" applyNumberFormat="1" applyFont="1" applyFill="1" applyAlignment="1">
      <alignment wrapText="1"/>
      <protection/>
    </xf>
    <xf numFmtId="0" fontId="22" fillId="0" borderId="10" xfId="0" applyFont="1" applyFill="1" applyBorder="1" applyAlignment="1">
      <alignment horizontal="center" vertical="center" wrapText="1"/>
    </xf>
    <xf numFmtId="0" fontId="21" fillId="0" borderId="0" xfId="0" applyFont="1" applyFill="1" applyAlignment="1">
      <alignment horizontal="right" vertical="center"/>
    </xf>
    <xf numFmtId="1" fontId="6" fillId="0" borderId="0" xfId="0" applyNumberFormat="1" applyFont="1" applyFill="1" applyBorder="1" applyAlignment="1">
      <alignment horizontal="center" wrapText="1"/>
    </xf>
    <xf numFmtId="0" fontId="6" fillId="0" borderId="0" xfId="0" applyFont="1" applyFill="1" applyAlignment="1">
      <alignment horizontal="center"/>
    </xf>
    <xf numFmtId="0" fontId="22" fillId="0" borderId="0" xfId="0" applyFont="1" applyFill="1" applyBorder="1" applyAlignment="1">
      <alignment horizontal="center" vertical="center" wrapText="1"/>
    </xf>
    <xf numFmtId="2" fontId="0" fillId="0" borderId="0" xfId="0" applyNumberFormat="1" applyFill="1" applyBorder="1" applyAlignment="1">
      <alignment horizontal="center"/>
    </xf>
    <xf numFmtId="0" fontId="17" fillId="0" borderId="0" xfId="0" applyFont="1" applyFill="1" applyAlignment="1">
      <alignment horizontal="center"/>
    </xf>
    <xf numFmtId="0" fontId="0" fillId="0" borderId="0" xfId="0" applyFill="1" applyBorder="1" applyAlignment="1">
      <alignment horizontal="center"/>
    </xf>
    <xf numFmtId="2" fontId="0" fillId="0" borderId="0" xfId="0" applyNumberFormat="1" applyFill="1" applyBorder="1" applyAlignment="1">
      <alignment wrapText="1"/>
    </xf>
    <xf numFmtId="0" fontId="31" fillId="0" borderId="10"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1" fillId="0" borderId="13" xfId="0" applyFont="1" applyFill="1" applyBorder="1" applyAlignment="1">
      <alignment horizontal="center" vertical="center" wrapText="1"/>
    </xf>
    <xf numFmtId="0" fontId="6" fillId="0" borderId="0" xfId="0" applyFont="1" applyFill="1" applyAlignment="1">
      <alignment horizontal="left"/>
    </xf>
    <xf numFmtId="0" fontId="6" fillId="0" borderId="0" xfId="0" applyFont="1" applyFill="1" applyBorder="1" applyAlignment="1">
      <alignment/>
    </xf>
    <xf numFmtId="0" fontId="6" fillId="0" borderId="0" xfId="0" applyFont="1" applyFill="1" applyBorder="1" applyAlignment="1">
      <alignment/>
    </xf>
    <xf numFmtId="0" fontId="6" fillId="0" borderId="0" xfId="0" applyNumberFormat="1" applyFont="1" applyFill="1" applyBorder="1" applyAlignment="1">
      <alignment/>
    </xf>
    <xf numFmtId="0" fontId="6" fillId="0" borderId="0" xfId="0" applyFont="1" applyFill="1" applyBorder="1" applyAlignment="1">
      <alignment vertical="top" wrapText="1"/>
    </xf>
    <xf numFmtId="0" fontId="0" fillId="0" borderId="0" xfId="0" applyFill="1" applyBorder="1" applyAlignment="1">
      <alignment horizontal="left" vertical="top"/>
    </xf>
    <xf numFmtId="0" fontId="0" fillId="0" borderId="0" xfId="0" applyFill="1" applyBorder="1" applyAlignment="1">
      <alignment vertical="top" wrapText="1"/>
    </xf>
    <xf numFmtId="0" fontId="0" fillId="0" borderId="0" xfId="0" applyFill="1" applyBorder="1" applyAlignment="1">
      <alignment vertical="center"/>
    </xf>
    <xf numFmtId="0" fontId="29" fillId="0" borderId="0" xfId="0" applyFont="1" applyFill="1" applyAlignment="1">
      <alignment vertical="center"/>
    </xf>
    <xf numFmtId="2" fontId="17" fillId="0" borderId="0" xfId="0" applyNumberFormat="1" applyFont="1" applyFill="1" applyAlignment="1">
      <alignment/>
    </xf>
    <xf numFmtId="0" fontId="11" fillId="0" borderId="0" xfId="0" applyFont="1" applyFill="1" applyBorder="1" applyAlignment="1">
      <alignment horizontal="center" vertical="center"/>
    </xf>
    <xf numFmtId="49" fontId="6" fillId="0" borderId="0" xfId="0" applyNumberFormat="1" applyFont="1" applyFill="1" applyBorder="1" applyAlignment="1">
      <alignment vertical="center" wrapText="1"/>
    </xf>
    <xf numFmtId="0" fontId="17" fillId="0" borderId="0" xfId="0" applyFont="1" applyFill="1" applyAlignment="1">
      <alignment/>
    </xf>
    <xf numFmtId="49" fontId="17" fillId="0" borderId="0" xfId="0" applyNumberFormat="1" applyFont="1" applyFill="1" applyBorder="1" applyAlignment="1">
      <alignment vertical="center" wrapText="1"/>
    </xf>
    <xf numFmtId="0" fontId="2" fillId="0" borderId="0" xfId="0" applyFont="1" applyFill="1" applyBorder="1" applyAlignment="1">
      <alignment horizontal="center"/>
    </xf>
    <xf numFmtId="0" fontId="11" fillId="0" borderId="0" xfId="0" applyFont="1" applyFill="1" applyAlignment="1">
      <alignment/>
    </xf>
    <xf numFmtId="49" fontId="11" fillId="0" borderId="0" xfId="61" applyNumberFormat="1" applyFont="1" applyFill="1" applyAlignment="1">
      <alignment horizontal="center" vertical="center" wrapText="1"/>
      <protection/>
    </xf>
    <xf numFmtId="49" fontId="6" fillId="0" borderId="0" xfId="0" applyNumberFormat="1" applyFont="1" applyFill="1" applyAlignment="1">
      <alignment vertical="center" wrapText="1"/>
    </xf>
    <xf numFmtId="49" fontId="6" fillId="0" borderId="0" xfId="0" applyNumberFormat="1" applyFont="1" applyFill="1" applyAlignment="1">
      <alignment vertical="center" wrapText="1"/>
    </xf>
    <xf numFmtId="0" fontId="6" fillId="0" borderId="0" xfId="0" applyFont="1" applyFill="1" applyAlignment="1">
      <alignment vertical="center"/>
    </xf>
    <xf numFmtId="49" fontId="17" fillId="0" borderId="14" xfId="0" applyNumberFormat="1" applyFont="1" applyFill="1" applyBorder="1" applyAlignment="1">
      <alignment vertical="center" wrapText="1"/>
    </xf>
    <xf numFmtId="0" fontId="31" fillId="0" borderId="0" xfId="0" applyFont="1" applyFill="1" applyBorder="1" applyAlignment="1">
      <alignment vertical="center" wrapText="1"/>
    </xf>
    <xf numFmtId="0" fontId="17" fillId="0" borderId="14" xfId="0" applyFont="1" applyFill="1" applyBorder="1" applyAlignment="1">
      <alignment vertical="center"/>
    </xf>
    <xf numFmtId="49" fontId="0" fillId="0" borderId="14" xfId="0" applyNumberFormat="1" applyFont="1" applyFill="1" applyBorder="1" applyAlignment="1">
      <alignment vertical="center" wrapText="1"/>
    </xf>
    <xf numFmtId="2" fontId="17" fillId="0" borderId="0" xfId="59" applyNumberFormat="1" applyFont="1" applyFill="1" applyBorder="1" applyAlignment="1" applyProtection="1">
      <alignment vertical="center"/>
      <protection/>
    </xf>
    <xf numFmtId="0" fontId="1" fillId="0" borderId="0" xfId="0" applyFont="1" applyFill="1" applyBorder="1" applyAlignment="1">
      <alignment vertical="center"/>
    </xf>
    <xf numFmtId="0" fontId="0" fillId="0" borderId="0" xfId="0" applyFill="1" applyBorder="1" applyAlignment="1">
      <alignment vertical="center" wrapText="1"/>
    </xf>
    <xf numFmtId="0" fontId="17" fillId="0" borderId="0" xfId="0" applyFont="1" applyFill="1" applyBorder="1" applyAlignment="1">
      <alignment/>
    </xf>
    <xf numFmtId="0" fontId="17" fillId="0" borderId="0" xfId="0" applyFont="1" applyFill="1" applyBorder="1" applyAlignment="1">
      <alignment vertical="center"/>
    </xf>
    <xf numFmtId="49" fontId="16" fillId="0" borderId="0" xfId="61" applyNumberFormat="1" applyFont="1" applyFill="1" applyBorder="1" applyAlignment="1">
      <alignment horizontal="center" wrapText="1"/>
      <protection/>
    </xf>
    <xf numFmtId="0" fontId="5" fillId="0" borderId="0" xfId="0" applyFont="1" applyFill="1" applyAlignment="1">
      <alignment vertical="center"/>
    </xf>
    <xf numFmtId="0" fontId="6" fillId="0" borderId="0" xfId="0" applyFont="1" applyFill="1" applyBorder="1" applyAlignment="1">
      <alignment vertical="center"/>
    </xf>
    <xf numFmtId="0" fontId="30" fillId="0" borderId="0" xfId="0" applyFont="1" applyFill="1" applyBorder="1" applyAlignment="1">
      <alignment horizontal="center"/>
    </xf>
    <xf numFmtId="49" fontId="11" fillId="0" borderId="0" xfId="0" applyNumberFormat="1" applyFont="1" applyFill="1" applyBorder="1" applyAlignment="1">
      <alignment vertical="center" wrapText="1"/>
    </xf>
    <xf numFmtId="0" fontId="6" fillId="0" borderId="10" xfId="0"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49" fontId="6" fillId="0" borderId="10" xfId="0" applyNumberFormat="1" applyFont="1" applyFill="1" applyBorder="1" applyAlignment="1">
      <alignment vertical="center" wrapText="1"/>
    </xf>
    <xf numFmtId="1" fontId="6" fillId="0" borderId="10"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0" fontId="17" fillId="0" borderId="10" xfId="0" applyFont="1" applyFill="1" applyBorder="1" applyAlignment="1">
      <alignment horizontal="center" vertical="center" wrapText="1"/>
    </xf>
    <xf numFmtId="2" fontId="17" fillId="0" borderId="10" xfId="0" applyNumberFormat="1" applyFont="1" applyFill="1" applyBorder="1" applyAlignment="1">
      <alignment horizontal="center" vertical="center" wrapText="1"/>
    </xf>
    <xf numFmtId="49" fontId="17" fillId="0" borderId="10" xfId="0" applyNumberFormat="1" applyFont="1" applyFill="1" applyBorder="1" applyAlignment="1">
      <alignment vertical="center" wrapText="1"/>
    </xf>
    <xf numFmtId="0" fontId="17" fillId="0" borderId="10" xfId="0" applyNumberFormat="1" applyFont="1" applyFill="1" applyBorder="1" applyAlignment="1">
      <alignment horizontal="center" vertical="center" wrapText="1"/>
    </xf>
    <xf numFmtId="0" fontId="17" fillId="0" borderId="10" xfId="0" applyFont="1" applyFill="1" applyBorder="1" applyAlignment="1">
      <alignment horizontal="center"/>
    </xf>
    <xf numFmtId="0" fontId="17" fillId="0" borderId="10" xfId="61" applyNumberFormat="1" applyFont="1" applyFill="1" applyBorder="1" applyAlignment="1">
      <alignment horizontal="center" vertical="center" wrapText="1"/>
      <protection/>
    </xf>
    <xf numFmtId="2" fontId="17" fillId="0" borderId="10" xfId="61" applyNumberFormat="1" applyFont="1" applyFill="1" applyBorder="1" applyAlignment="1">
      <alignment horizontal="center" vertical="center" wrapText="1"/>
      <protection/>
    </xf>
    <xf numFmtId="49" fontId="17" fillId="0" borderId="10" xfId="61" applyNumberFormat="1" applyFont="1" applyFill="1" applyBorder="1" applyAlignment="1">
      <alignment vertical="center" wrapText="1"/>
      <protection/>
    </xf>
    <xf numFmtId="2" fontId="2" fillId="0" borderId="10" xfId="61" applyNumberFormat="1" applyFont="1" applyFill="1" applyBorder="1" applyAlignment="1">
      <alignment horizontal="center" vertical="center" wrapText="1"/>
      <protection/>
    </xf>
    <xf numFmtId="0" fontId="0" fillId="0" borderId="10" xfId="0" applyFill="1" applyBorder="1" applyAlignment="1">
      <alignment horizontal="center" vertical="top" wrapText="1"/>
    </xf>
    <xf numFmtId="49" fontId="0" fillId="0" borderId="10" xfId="0" applyNumberFormat="1" applyFont="1" applyFill="1" applyBorder="1" applyAlignment="1">
      <alignment vertical="center" wrapText="1"/>
    </xf>
    <xf numFmtId="49" fontId="0" fillId="0" borderId="10" xfId="0" applyNumberFormat="1" applyFont="1" applyFill="1" applyBorder="1" applyAlignment="1">
      <alignment horizontal="center" vertical="center" wrapText="1"/>
    </xf>
    <xf numFmtId="0" fontId="0" fillId="0" borderId="10" xfId="0" applyFill="1" applyBorder="1" applyAlignment="1">
      <alignment vertical="top" wrapText="1"/>
    </xf>
    <xf numFmtId="0" fontId="0" fillId="0" borderId="10" xfId="0"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0" xfId="0" applyFont="1" applyFill="1" applyBorder="1" applyAlignment="1">
      <alignment vertical="top" wrapText="1"/>
    </xf>
    <xf numFmtId="1" fontId="0" fillId="0" borderId="10" xfId="0" applyNumberFormat="1" applyFont="1" applyFill="1" applyBorder="1" applyAlignment="1">
      <alignment horizontal="center" vertical="center" wrapText="1"/>
    </xf>
    <xf numFmtId="0" fontId="17" fillId="0" borderId="10" xfId="0" applyNumberFormat="1" applyFont="1" applyFill="1" applyBorder="1" applyAlignment="1">
      <alignment horizontal="center" vertical="top" wrapText="1"/>
    </xf>
    <xf numFmtId="0" fontId="0" fillId="0" borderId="10" xfId="0" applyFill="1" applyBorder="1" applyAlignment="1">
      <alignment horizontal="center" vertical="center"/>
    </xf>
    <xf numFmtId="2" fontId="0" fillId="0" borderId="10" xfId="0" applyNumberFormat="1" applyFill="1" applyBorder="1" applyAlignment="1">
      <alignment horizontal="center" vertical="center"/>
    </xf>
    <xf numFmtId="0" fontId="0" fillId="0" borderId="0" xfId="0" applyFill="1" applyAlignment="1">
      <alignment horizontal="center" vertical="center"/>
    </xf>
    <xf numFmtId="0" fontId="0" fillId="0" borderId="10" xfId="0" applyFill="1" applyBorder="1" applyAlignment="1">
      <alignment horizontal="center"/>
    </xf>
    <xf numFmtId="0" fontId="0"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0" xfId="0" applyFont="1" applyFill="1" applyBorder="1" applyAlignment="1">
      <alignment horizontal="center"/>
    </xf>
    <xf numFmtId="0" fontId="17" fillId="0" borderId="10" xfId="0" applyFont="1" applyFill="1" applyBorder="1" applyAlignment="1">
      <alignment vertical="top" wrapText="1"/>
    </xf>
    <xf numFmtId="0" fontId="11" fillId="0" borderId="0" xfId="0" applyFont="1" applyFill="1" applyAlignment="1">
      <alignment horizontal="center"/>
    </xf>
    <xf numFmtId="0" fontId="5" fillId="0" borderId="0" xfId="0" applyFont="1" applyFill="1" applyAlignment="1">
      <alignment/>
    </xf>
    <xf numFmtId="0" fontId="0" fillId="32" borderId="0" xfId="0" applyFill="1" applyAlignment="1">
      <alignment vertical="center" wrapText="1"/>
    </xf>
    <xf numFmtId="0" fontId="0" fillId="0" borderId="10" xfId="0" applyFont="1" applyFill="1" applyBorder="1" applyAlignment="1">
      <alignment horizontal="left" vertical="center"/>
    </xf>
    <xf numFmtId="2" fontId="6" fillId="0" borderId="0" xfId="0" applyNumberFormat="1" applyFont="1" applyFill="1" applyAlignment="1">
      <alignment horizontal="left"/>
    </xf>
    <xf numFmtId="0" fontId="22" fillId="0" borderId="14" xfId="0" applyFont="1" applyFill="1" applyBorder="1" applyAlignment="1">
      <alignment vertical="center"/>
    </xf>
    <xf numFmtId="0" fontId="30" fillId="0" borderId="0" xfId="0" applyFont="1" applyFill="1" applyBorder="1" applyAlignment="1">
      <alignment horizontal="left" vertical="top"/>
    </xf>
    <xf numFmtId="0" fontId="6" fillId="0" borderId="0" xfId="0" applyFont="1" applyFill="1" applyBorder="1" applyAlignment="1">
      <alignment vertical="top" wrapText="1"/>
    </xf>
    <xf numFmtId="0" fontId="6" fillId="0" borderId="0" xfId="0" applyNumberFormat="1" applyFont="1" applyFill="1" applyBorder="1" applyAlignment="1">
      <alignment horizontal="center"/>
    </xf>
    <xf numFmtId="2" fontId="6" fillId="0" borderId="0" xfId="0" applyNumberFormat="1" applyFont="1" applyFill="1" applyBorder="1" applyAlignment="1">
      <alignment/>
    </xf>
    <xf numFmtId="0" fontId="30" fillId="0" borderId="0" xfId="0" applyFont="1" applyFill="1" applyBorder="1" applyAlignment="1">
      <alignment horizontal="center" vertical="top"/>
    </xf>
    <xf numFmtId="0" fontId="6" fillId="0" borderId="0" xfId="0" applyFont="1" applyFill="1" applyAlignment="1">
      <alignment vertical="top" wrapText="1"/>
    </xf>
    <xf numFmtId="0" fontId="6" fillId="0" borderId="0" xfId="0" applyNumberFormat="1" applyFont="1" applyFill="1" applyAlignment="1">
      <alignment horizontal="center"/>
    </xf>
    <xf numFmtId="0" fontId="0" fillId="0" borderId="0" xfId="0" applyNumberFormat="1" applyFill="1" applyAlignment="1">
      <alignment horizontal="center"/>
    </xf>
    <xf numFmtId="0" fontId="7" fillId="0" borderId="0" xfId="0" applyFont="1" applyFill="1" applyAlignment="1">
      <alignment/>
    </xf>
    <xf numFmtId="0" fontId="2" fillId="0" borderId="0" xfId="0" applyFont="1" applyFill="1" applyAlignment="1" quotePrefix="1">
      <alignment/>
    </xf>
    <xf numFmtId="0" fontId="2" fillId="0" borderId="0" xfId="0" applyFont="1" applyFill="1" applyBorder="1" applyAlignment="1">
      <alignment/>
    </xf>
    <xf numFmtId="0" fontId="17" fillId="0" borderId="0" xfId="0" applyNumberFormat="1" applyFont="1" applyFill="1" applyAlignment="1">
      <alignment/>
    </xf>
    <xf numFmtId="0" fontId="2" fillId="0" borderId="0" xfId="0" applyFont="1" applyFill="1" applyAlignment="1">
      <alignment/>
    </xf>
    <xf numFmtId="0" fontId="0" fillId="0" borderId="11" xfId="0" applyFill="1" applyBorder="1" applyAlignment="1">
      <alignment/>
    </xf>
    <xf numFmtId="0" fontId="0" fillId="0" borderId="11" xfId="0" applyNumberFormat="1" applyFill="1" applyBorder="1" applyAlignment="1">
      <alignment/>
    </xf>
    <xf numFmtId="0" fontId="22" fillId="0" borderId="14" xfId="0" applyFont="1" applyFill="1" applyBorder="1" applyAlignment="1">
      <alignment/>
    </xf>
    <xf numFmtId="0" fontId="22" fillId="0" borderId="0" xfId="0" applyFont="1" applyFill="1" applyAlignment="1">
      <alignment/>
    </xf>
    <xf numFmtId="0" fontId="22" fillId="0" borderId="0" xfId="0" applyFont="1" applyFill="1" applyAlignment="1">
      <alignment/>
    </xf>
    <xf numFmtId="49" fontId="22" fillId="0" borderId="14" xfId="0" applyNumberFormat="1" applyFont="1" applyFill="1" applyBorder="1" applyAlignment="1">
      <alignment vertical="center" wrapText="1"/>
    </xf>
    <xf numFmtId="49" fontId="22" fillId="0" borderId="0" xfId="0" applyNumberFormat="1" applyFont="1" applyFill="1" applyAlignment="1">
      <alignment vertical="center" wrapText="1"/>
    </xf>
    <xf numFmtId="2" fontId="22" fillId="0" borderId="0" xfId="0" applyNumberFormat="1" applyFont="1" applyFill="1" applyAlignment="1">
      <alignment/>
    </xf>
    <xf numFmtId="0" fontId="22" fillId="0" borderId="0" xfId="0" applyFont="1" applyFill="1" applyAlignment="1">
      <alignment vertical="center"/>
    </xf>
    <xf numFmtId="0" fontId="1" fillId="0" borderId="0" xfId="0" applyFont="1" applyFill="1" applyBorder="1" applyAlignment="1">
      <alignment horizontal="center" vertical="center"/>
    </xf>
    <xf numFmtId="2" fontId="1" fillId="0" borderId="0" xfId="0" applyNumberFormat="1" applyFont="1" applyFill="1" applyBorder="1" applyAlignment="1">
      <alignment horizontal="center" vertical="center"/>
    </xf>
    <xf numFmtId="0" fontId="1" fillId="0" borderId="10" xfId="0" applyFont="1" applyFill="1" applyBorder="1" applyAlignment="1">
      <alignment vertical="center"/>
    </xf>
    <xf numFmtId="0" fontId="0" fillId="0" borderId="16" xfId="0" applyFill="1" applyBorder="1" applyAlignment="1">
      <alignment vertical="center" wrapText="1"/>
    </xf>
    <xf numFmtId="0" fontId="0" fillId="0" borderId="17" xfId="0" applyFill="1" applyBorder="1" applyAlignment="1">
      <alignment vertical="center" wrapText="1"/>
    </xf>
    <xf numFmtId="2" fontId="0" fillId="0" borderId="0" xfId="0" applyNumberFormat="1" applyFill="1" applyAlignment="1">
      <alignment horizontal="center" vertical="center"/>
    </xf>
    <xf numFmtId="2" fontId="0" fillId="0" borderId="0" xfId="0" applyNumberFormat="1" applyFill="1" applyAlignment="1">
      <alignment/>
    </xf>
    <xf numFmtId="0" fontId="0" fillId="0" borderId="0" xfId="0" applyNumberFormat="1" applyFill="1" applyAlignment="1">
      <alignment vertical="top" wrapText="1"/>
    </xf>
    <xf numFmtId="0" fontId="0" fillId="0" borderId="0" xfId="0" applyFill="1" applyAlignment="1">
      <alignment vertical="top"/>
    </xf>
    <xf numFmtId="0" fontId="0" fillId="0" borderId="0" xfId="0" applyFill="1" applyAlignment="1">
      <alignment horizontal="left" vertical="top" wrapText="1"/>
    </xf>
    <xf numFmtId="0" fontId="7" fillId="0" borderId="0" xfId="0" applyFont="1" applyFill="1" applyAlignment="1">
      <alignment/>
    </xf>
    <xf numFmtId="0" fontId="40" fillId="0" borderId="0" xfId="0" applyFont="1" applyFill="1" applyBorder="1" applyAlignment="1">
      <alignment/>
    </xf>
    <xf numFmtId="0" fontId="1" fillId="0" borderId="0" xfId="0" applyFont="1" applyFill="1" applyBorder="1" applyAlignment="1" quotePrefix="1">
      <alignment/>
    </xf>
    <xf numFmtId="0" fontId="1" fillId="0" borderId="0" xfId="0" applyFont="1" applyFill="1" applyBorder="1" applyAlignment="1">
      <alignment vertical="center" wrapText="1"/>
    </xf>
    <xf numFmtId="0" fontId="1" fillId="0" borderId="10" xfId="0" applyNumberFormat="1" applyFont="1" applyFill="1" applyBorder="1" applyAlignment="1">
      <alignment horizontal="center" vertical="center" wrapText="1"/>
    </xf>
    <xf numFmtId="0" fontId="6" fillId="0" borderId="0" xfId="0" applyNumberFormat="1" applyFont="1" applyFill="1" applyBorder="1" applyAlignment="1">
      <alignment horizontal="left" vertical="center"/>
    </xf>
    <xf numFmtId="0" fontId="0" fillId="0" borderId="0" xfId="0" applyFont="1" applyFill="1" applyBorder="1" applyAlignment="1">
      <alignment horizontal="left" vertical="top" wrapText="1"/>
    </xf>
    <xf numFmtId="0" fontId="5" fillId="0" borderId="0" xfId="0" applyFont="1" applyFill="1" applyAlignment="1">
      <alignment/>
    </xf>
    <xf numFmtId="2" fontId="11" fillId="0" borderId="0" xfId="0" applyNumberFormat="1" applyFont="1" applyFill="1" applyAlignment="1">
      <alignment/>
    </xf>
    <xf numFmtId="0" fontId="0" fillId="0" borderId="0" xfId="0" applyFill="1" applyAlignment="1">
      <alignment wrapText="1"/>
    </xf>
    <xf numFmtId="0" fontId="0" fillId="0" borderId="18" xfId="0" applyNumberFormat="1" applyFill="1" applyBorder="1" applyAlignment="1">
      <alignment/>
    </xf>
    <xf numFmtId="0" fontId="1" fillId="0" borderId="10" xfId="0" applyFont="1" applyFill="1" applyBorder="1" applyAlignment="1">
      <alignment vertical="top"/>
    </xf>
    <xf numFmtId="2" fontId="1" fillId="0" borderId="0" xfId="0" applyNumberFormat="1" applyFont="1" applyFill="1" applyAlignment="1">
      <alignment horizontal="center"/>
    </xf>
    <xf numFmtId="0" fontId="1" fillId="0" borderId="0" xfId="0" applyFont="1" applyFill="1" applyBorder="1" applyAlignment="1" quotePrefix="1">
      <alignment horizontal="center"/>
    </xf>
    <xf numFmtId="0" fontId="1" fillId="0" borderId="19" xfId="0" applyFont="1" applyFill="1" applyBorder="1" applyAlignment="1">
      <alignment horizontal="center"/>
    </xf>
    <xf numFmtId="0" fontId="17" fillId="0" borderId="10" xfId="0" applyNumberFormat="1" applyFont="1" applyFill="1" applyBorder="1" applyAlignment="1">
      <alignment horizontal="center" vertical="top" wrapText="1"/>
    </xf>
    <xf numFmtId="0" fontId="17" fillId="0" borderId="10" xfId="0" applyFont="1" applyFill="1" applyBorder="1" applyAlignment="1">
      <alignment horizontal="center" vertical="top"/>
    </xf>
    <xf numFmtId="0" fontId="17" fillId="0" borderId="10" xfId="0" applyFont="1" applyFill="1" applyBorder="1" applyAlignment="1">
      <alignment horizontal="left" vertical="top"/>
    </xf>
    <xf numFmtId="0" fontId="0" fillId="0" borderId="0" xfId="0" applyFont="1" applyFill="1" applyBorder="1" applyAlignment="1">
      <alignment vertical="top" wrapText="1"/>
    </xf>
    <xf numFmtId="0" fontId="0" fillId="0" borderId="0" xfId="0" applyNumberFormat="1" applyFont="1" applyFill="1" applyBorder="1" applyAlignment="1">
      <alignment horizontal="left" vertical="center"/>
    </xf>
    <xf numFmtId="0" fontId="0" fillId="0" borderId="0" xfId="0" applyFont="1" applyFill="1" applyBorder="1" applyAlignment="1">
      <alignment horizontal="center" vertical="center"/>
    </xf>
    <xf numFmtId="2" fontId="0" fillId="0" borderId="0" xfId="0" applyNumberFormat="1" applyFont="1" applyFill="1" applyBorder="1" applyAlignment="1">
      <alignment horizontal="center" vertical="center"/>
    </xf>
    <xf numFmtId="0" fontId="42" fillId="0" borderId="0" xfId="0" applyFont="1" applyFill="1" applyBorder="1" applyAlignment="1">
      <alignment vertical="center" wrapText="1"/>
    </xf>
    <xf numFmtId="0" fontId="1" fillId="0" borderId="0" xfId="0" applyFont="1" applyFill="1" applyBorder="1" applyAlignment="1">
      <alignment horizontal="left"/>
    </xf>
    <xf numFmtId="0" fontId="0" fillId="0" borderId="0" xfId="0" applyFill="1" applyBorder="1" applyAlignment="1">
      <alignment wrapText="1"/>
    </xf>
    <xf numFmtId="0" fontId="0" fillId="0" borderId="0" xfId="0" applyNumberFormat="1" applyFill="1" applyBorder="1" applyAlignment="1">
      <alignment horizontal="center"/>
    </xf>
    <xf numFmtId="0" fontId="1" fillId="0" borderId="0" xfId="0" applyFont="1" applyFill="1" applyBorder="1" applyAlignment="1">
      <alignment horizontal="center"/>
    </xf>
    <xf numFmtId="0" fontId="1" fillId="0" borderId="0" xfId="0" applyFont="1" applyFill="1" applyBorder="1" applyAlignment="1">
      <alignment/>
    </xf>
    <xf numFmtId="0" fontId="1" fillId="0" borderId="0" xfId="0" applyFont="1" applyFill="1" applyBorder="1" applyAlignment="1">
      <alignment horizontal="center" vertical="top"/>
    </xf>
    <xf numFmtId="0" fontId="1" fillId="0" borderId="0" xfId="0" applyFont="1" applyFill="1" applyBorder="1" applyAlignment="1">
      <alignment vertical="top"/>
    </xf>
    <xf numFmtId="0" fontId="0" fillId="0" borderId="0" xfId="0" applyFill="1" applyAlignment="1">
      <alignment horizontal="center" vertical="top"/>
    </xf>
    <xf numFmtId="2" fontId="0" fillId="0" borderId="0" xfId="0" applyNumberFormat="1" applyFill="1" applyAlignment="1">
      <alignment horizontal="center" vertical="top"/>
    </xf>
    <xf numFmtId="0" fontId="6" fillId="0" borderId="0" xfId="0" applyFont="1" applyFill="1" applyBorder="1" applyAlignment="1" quotePrefix="1">
      <alignment vertical="center" wrapText="1"/>
    </xf>
    <xf numFmtId="0" fontId="39" fillId="0" borderId="0" xfId="0" applyFont="1" applyFill="1" applyBorder="1" applyAlignment="1">
      <alignment horizontal="left" vertical="center"/>
    </xf>
    <xf numFmtId="0" fontId="5" fillId="0" borderId="0" xfId="0" applyFont="1" applyFill="1" applyAlignment="1" quotePrefix="1">
      <alignment/>
    </xf>
    <xf numFmtId="0" fontId="0" fillId="0" borderId="0" xfId="0" applyFill="1" applyBorder="1" applyAlignment="1">
      <alignment horizontal="right"/>
    </xf>
    <xf numFmtId="0" fontId="1" fillId="0" borderId="10" xfId="0" applyFont="1" applyFill="1" applyBorder="1" applyAlignment="1">
      <alignment horizontal="center" wrapText="1"/>
    </xf>
    <xf numFmtId="49" fontId="0" fillId="0" borderId="14" xfId="0" applyNumberFormat="1" applyFont="1" applyFill="1" applyBorder="1" applyAlignment="1">
      <alignment vertical="center" wrapText="1"/>
    </xf>
    <xf numFmtId="49" fontId="0" fillId="0" borderId="0" xfId="0" applyNumberFormat="1" applyFont="1" applyFill="1" applyAlignment="1">
      <alignment vertical="center" wrapText="1"/>
    </xf>
    <xf numFmtId="0" fontId="0" fillId="0" borderId="14" xfId="0" applyFont="1" applyFill="1" applyBorder="1" applyAlignment="1">
      <alignment vertical="center"/>
    </xf>
    <xf numFmtId="0" fontId="1" fillId="0" borderId="20" xfId="0" applyFont="1" applyFill="1" applyBorder="1" applyAlignment="1">
      <alignment horizontal="left" vertical="center" wrapText="1"/>
    </xf>
    <xf numFmtId="0" fontId="1" fillId="0" borderId="18" xfId="0" applyFont="1" applyFill="1" applyBorder="1" applyAlignment="1">
      <alignment horizontal="center" vertical="center"/>
    </xf>
    <xf numFmtId="0" fontId="1" fillId="0" borderId="18" xfId="0" applyFont="1" applyFill="1" applyBorder="1" applyAlignment="1">
      <alignment vertical="center"/>
    </xf>
    <xf numFmtId="2" fontId="1" fillId="0" borderId="21" xfId="0" applyNumberFormat="1" applyFont="1" applyFill="1" applyBorder="1" applyAlignment="1">
      <alignment horizontal="center" vertical="center"/>
    </xf>
    <xf numFmtId="0" fontId="0" fillId="0" borderId="0" xfId="0" applyFill="1" applyAlignment="1">
      <alignment horizontal="right" vertical="top"/>
    </xf>
    <xf numFmtId="0" fontId="0" fillId="0" borderId="0" xfId="0" applyFill="1" applyAlignment="1">
      <alignment horizontal="right"/>
    </xf>
    <xf numFmtId="0" fontId="40" fillId="0" borderId="0" xfId="0" applyFont="1" applyFill="1" applyAlignment="1">
      <alignment horizontal="center"/>
    </xf>
    <xf numFmtId="0" fontId="1" fillId="0" borderId="12" xfId="0" applyNumberFormat="1" applyFont="1" applyFill="1" applyBorder="1" applyAlignment="1">
      <alignment horizontal="center" vertical="center" wrapText="1"/>
    </xf>
    <xf numFmtId="0" fontId="44" fillId="0" borderId="14" xfId="0" applyFont="1" applyFill="1" applyBorder="1" applyAlignment="1">
      <alignment vertical="center" wrapText="1"/>
    </xf>
    <xf numFmtId="0" fontId="11" fillId="0" borderId="0" xfId="0" applyFont="1" applyFill="1" applyBorder="1" applyAlignment="1">
      <alignment vertical="center" wrapText="1"/>
    </xf>
    <xf numFmtId="0" fontId="5" fillId="0" borderId="14" xfId="0" applyFont="1" applyFill="1" applyBorder="1" applyAlignment="1">
      <alignment vertical="center"/>
    </xf>
    <xf numFmtId="0" fontId="5" fillId="0" borderId="14" xfId="0" applyFont="1" applyFill="1" applyBorder="1" applyAlignment="1">
      <alignment vertical="center" wrapText="1"/>
    </xf>
    <xf numFmtId="0" fontId="0"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0" fillId="0" borderId="0" xfId="0" applyNumberFormat="1" applyFill="1" applyAlignment="1">
      <alignment vertical="top"/>
    </xf>
    <xf numFmtId="0" fontId="1" fillId="0" borderId="0" xfId="0" applyFont="1" applyFill="1" applyAlignment="1">
      <alignment/>
    </xf>
    <xf numFmtId="0" fontId="1" fillId="0" borderId="0" xfId="0" applyFont="1" applyFill="1" applyBorder="1" applyAlignment="1">
      <alignment/>
    </xf>
    <xf numFmtId="0" fontId="1" fillId="0" borderId="12"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0" xfId="0" applyFont="1" applyFill="1" applyAlignment="1">
      <alignment horizontal="center" vertical="center"/>
    </xf>
    <xf numFmtId="0" fontId="0" fillId="0" borderId="0" xfId="0" applyFont="1" applyFill="1" applyAlignment="1">
      <alignment horizontal="center"/>
    </xf>
    <xf numFmtId="0" fontId="0" fillId="0" borderId="0" xfId="0" applyFont="1" applyFill="1" applyBorder="1" applyAlignment="1">
      <alignment/>
    </xf>
    <xf numFmtId="2" fontId="1" fillId="0" borderId="0" xfId="0" applyNumberFormat="1" applyFont="1" applyFill="1" applyAlignment="1">
      <alignment/>
    </xf>
    <xf numFmtId="2" fontId="0" fillId="0" borderId="0" xfId="0" applyNumberFormat="1" applyFont="1" applyFill="1" applyAlignment="1">
      <alignment/>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9" fillId="0" borderId="0" xfId="0" applyNumberFormat="1" applyFont="1" applyFill="1" applyBorder="1" applyAlignment="1" quotePrefix="1">
      <alignment horizontal="center" vertical="center"/>
    </xf>
    <xf numFmtId="2" fontId="39" fillId="0" borderId="0" xfId="0" applyNumberFormat="1" applyFont="1" applyFill="1" applyBorder="1" applyAlignment="1">
      <alignment horizontal="center" vertical="center"/>
    </xf>
    <xf numFmtId="0" fontId="0" fillId="0" borderId="0" xfId="0" applyFont="1" applyFill="1" applyBorder="1" applyAlignment="1">
      <alignment vertical="top"/>
    </xf>
    <xf numFmtId="0" fontId="0" fillId="0" borderId="0" xfId="0" applyFont="1" applyFill="1" applyAlignment="1">
      <alignment vertical="top"/>
    </xf>
    <xf numFmtId="2" fontId="0" fillId="0" borderId="0" xfId="0" applyNumberFormat="1" applyFont="1" applyFill="1" applyAlignment="1">
      <alignment vertical="top"/>
    </xf>
    <xf numFmtId="0" fontId="0" fillId="0" borderId="0" xfId="0" applyFont="1" applyFill="1" applyBorder="1" applyAlignment="1">
      <alignment/>
    </xf>
    <xf numFmtId="0" fontId="0" fillId="0" borderId="0" xfId="0" applyNumberFormat="1" applyFont="1" applyFill="1" applyBorder="1" applyAlignment="1">
      <alignment/>
    </xf>
    <xf numFmtId="0" fontId="0" fillId="0" borderId="0" xfId="0" applyNumberFormat="1" applyFont="1" applyFill="1" applyAlignment="1">
      <alignment/>
    </xf>
    <xf numFmtId="0" fontId="1" fillId="0" borderId="0" xfId="0" applyFont="1" applyFill="1" applyAlignment="1">
      <alignment horizontal="center"/>
    </xf>
    <xf numFmtId="0" fontId="1" fillId="0" borderId="0" xfId="0" applyFont="1" applyFill="1" applyAlignment="1" quotePrefix="1">
      <alignment horizontal="center"/>
    </xf>
    <xf numFmtId="0" fontId="1" fillId="0" borderId="0" xfId="0" applyFont="1" applyFill="1" applyAlignment="1" quotePrefix="1">
      <alignment/>
    </xf>
    <xf numFmtId="0" fontId="0" fillId="0" borderId="14" xfId="0" applyFont="1" applyFill="1" applyBorder="1" applyAlignment="1">
      <alignment vertical="center"/>
    </xf>
    <xf numFmtId="0" fontId="0" fillId="0" borderId="0" xfId="0" applyFont="1" applyFill="1" applyBorder="1" applyAlignment="1">
      <alignment vertical="center"/>
    </xf>
    <xf numFmtId="0" fontId="0" fillId="0" borderId="14" xfId="0" applyFill="1" applyBorder="1" applyAlignment="1">
      <alignment vertical="center" wrapText="1"/>
    </xf>
    <xf numFmtId="2" fontId="0" fillId="0" borderId="0" xfId="0" applyNumberFormat="1" applyFill="1" applyAlignment="1">
      <alignment vertical="top"/>
    </xf>
    <xf numFmtId="0" fontId="0" fillId="0" borderId="0" xfId="0" applyFill="1" applyAlignment="1">
      <alignment horizontal="center" vertical="top" wrapText="1"/>
    </xf>
    <xf numFmtId="0" fontId="0" fillId="0" borderId="0" xfId="0" applyNumberFormat="1" applyFill="1" applyAlignment="1">
      <alignment horizontal="center" vertical="top" wrapText="1"/>
    </xf>
    <xf numFmtId="0" fontId="0" fillId="0" borderId="0" xfId="0" applyNumberFormat="1" applyFill="1" applyAlignment="1">
      <alignment/>
    </xf>
    <xf numFmtId="0" fontId="6" fillId="0" borderId="0" xfId="0" applyFont="1" applyFill="1" applyAlignment="1">
      <alignment/>
    </xf>
    <xf numFmtId="0" fontId="6" fillId="0" borderId="0" xfId="0" applyNumberFormat="1" applyFont="1" applyFill="1" applyAlignment="1">
      <alignment/>
    </xf>
    <xf numFmtId="0" fontId="17" fillId="0" borderId="0" xfId="0" applyNumberFormat="1" applyFont="1" applyFill="1" applyBorder="1" applyAlignment="1">
      <alignment horizontal="left" vertical="center"/>
    </xf>
    <xf numFmtId="49" fontId="17" fillId="32" borderId="0" xfId="0" applyNumberFormat="1" applyFont="1" applyFill="1" applyBorder="1" applyAlignment="1">
      <alignment vertical="center" wrapText="1"/>
    </xf>
    <xf numFmtId="0" fontId="0" fillId="0" borderId="12" xfId="0" applyFont="1" applyFill="1" applyBorder="1" applyAlignment="1">
      <alignment horizontal="center" vertical="center" wrapText="1"/>
    </xf>
    <xf numFmtId="0" fontId="11" fillId="0" borderId="0" xfId="0" applyFont="1" applyFill="1" applyAlignment="1">
      <alignment vertical="top" wrapText="1"/>
    </xf>
    <xf numFmtId="0" fontId="11" fillId="0" borderId="0" xfId="0" applyFont="1" applyFill="1" applyAlignment="1">
      <alignment horizontal="center" vertical="top" wrapText="1"/>
    </xf>
    <xf numFmtId="0" fontId="11" fillId="0" borderId="0" xfId="0" applyFont="1" applyFill="1" applyBorder="1" applyAlignment="1">
      <alignment vertical="top" wrapText="1"/>
    </xf>
    <xf numFmtId="0" fontId="45" fillId="0" borderId="10" xfId="0" applyFont="1" applyFill="1" applyBorder="1" applyAlignment="1">
      <alignment horizontal="center" vertical="top"/>
    </xf>
    <xf numFmtId="0" fontId="45" fillId="0" borderId="10" xfId="0" applyFont="1" applyFill="1" applyBorder="1" applyAlignment="1">
      <alignment vertical="top"/>
    </xf>
    <xf numFmtId="0" fontId="45" fillId="0" borderId="10" xfId="0" applyFont="1" applyFill="1" applyBorder="1" applyAlignment="1">
      <alignment horizontal="center" vertical="center"/>
    </xf>
    <xf numFmtId="0" fontId="45" fillId="0" borderId="10" xfId="0" applyFont="1" applyFill="1" applyBorder="1" applyAlignment="1">
      <alignment vertical="center" wrapText="1"/>
    </xf>
    <xf numFmtId="0" fontId="45" fillId="0" borderId="10" xfId="0" applyFont="1" applyFill="1" applyBorder="1" applyAlignment="1">
      <alignment horizontal="center" vertical="center" wrapText="1"/>
    </xf>
    <xf numFmtId="2" fontId="45" fillId="0" borderId="10" xfId="0" applyNumberFormat="1" applyFont="1" applyFill="1" applyBorder="1" applyAlignment="1">
      <alignment horizontal="center" vertical="center"/>
    </xf>
    <xf numFmtId="2" fontId="45" fillId="0" borderId="10" xfId="0" applyNumberFormat="1" applyFont="1" applyFill="1" applyBorder="1" applyAlignment="1">
      <alignment horizontal="center" vertical="center" wrapText="1"/>
    </xf>
    <xf numFmtId="0" fontId="53" fillId="0" borderId="10" xfId="0" applyFont="1" applyFill="1" applyBorder="1" applyAlignment="1">
      <alignment horizontal="center" vertical="center"/>
    </xf>
    <xf numFmtId="0" fontId="45" fillId="0" borderId="10" xfId="0" applyFont="1" applyFill="1" applyBorder="1" applyAlignment="1">
      <alignment horizontal="center" vertical="top" wrapText="1"/>
    </xf>
    <xf numFmtId="0" fontId="45" fillId="0" borderId="10" xfId="0" applyNumberFormat="1" applyFont="1" applyFill="1" applyBorder="1" applyAlignment="1">
      <alignment horizontal="center" vertical="center" wrapText="1"/>
    </xf>
    <xf numFmtId="0" fontId="45" fillId="0" borderId="10" xfId="0" applyFont="1" applyFill="1" applyBorder="1" applyAlignment="1">
      <alignment vertical="top" wrapText="1"/>
    </xf>
    <xf numFmtId="2" fontId="45" fillId="0" borderId="10" xfId="0" applyNumberFormat="1" applyFont="1" applyFill="1" applyBorder="1" applyAlignment="1">
      <alignment horizontal="center" vertical="top" wrapText="1"/>
    </xf>
    <xf numFmtId="0" fontId="45" fillId="0" borderId="10" xfId="0" applyNumberFormat="1" applyFont="1" applyFill="1" applyBorder="1" applyAlignment="1">
      <alignment horizontal="center" vertical="top" wrapText="1"/>
    </xf>
    <xf numFmtId="0" fontId="35" fillId="0" borderId="10" xfId="0" applyFont="1" applyFill="1" applyBorder="1" applyAlignment="1">
      <alignment vertical="center" wrapText="1"/>
    </xf>
    <xf numFmtId="0" fontId="53" fillId="0" borderId="10" xfId="0" applyFont="1" applyFill="1" applyBorder="1" applyAlignment="1">
      <alignment horizontal="center" vertical="top" wrapText="1"/>
    </xf>
    <xf numFmtId="0" fontId="45" fillId="0" borderId="10" xfId="0" applyFont="1" applyFill="1" applyBorder="1" applyAlignment="1">
      <alignment horizontal="left" vertical="top" wrapText="1"/>
    </xf>
    <xf numFmtId="0" fontId="53" fillId="0" borderId="10" xfId="0" applyFont="1" applyFill="1" applyBorder="1" applyAlignment="1">
      <alignment horizontal="center" vertical="top"/>
    </xf>
    <xf numFmtId="1" fontId="45" fillId="0" borderId="10" xfId="0" applyNumberFormat="1" applyFont="1" applyFill="1" applyBorder="1" applyAlignment="1">
      <alignment horizontal="center" vertical="top" wrapText="1"/>
    </xf>
    <xf numFmtId="0" fontId="45" fillId="0" borderId="10" xfId="0" applyFont="1" applyFill="1" applyBorder="1" applyAlignment="1">
      <alignment horizontal="left" vertical="center" wrapText="1"/>
    </xf>
    <xf numFmtId="2" fontId="45" fillId="0" borderId="10" xfId="0" applyNumberFormat="1" applyFont="1" applyFill="1" applyBorder="1" applyAlignment="1">
      <alignment horizontal="center" vertical="top"/>
    </xf>
    <xf numFmtId="0" fontId="53" fillId="0" borderId="10" xfId="0" applyNumberFormat="1" applyFont="1" applyFill="1" applyBorder="1" applyAlignment="1">
      <alignment horizontal="center" vertical="top" wrapText="1"/>
    </xf>
    <xf numFmtId="0" fontId="53" fillId="0" borderId="10" xfId="0" applyFont="1" applyFill="1" applyBorder="1" applyAlignment="1">
      <alignment horizontal="center" vertical="center" wrapText="1"/>
    </xf>
    <xf numFmtId="0" fontId="45" fillId="0" borderId="10" xfId="0" applyFont="1" applyFill="1" applyBorder="1" applyAlignment="1">
      <alignment vertical="center"/>
    </xf>
    <xf numFmtId="0" fontId="53" fillId="0" borderId="10" xfId="0" applyNumberFormat="1" applyFont="1" applyFill="1" applyBorder="1" applyAlignment="1">
      <alignment horizontal="center" vertical="center" wrapText="1"/>
    </xf>
    <xf numFmtId="1" fontId="53" fillId="0" borderId="10" xfId="0" applyNumberFormat="1" applyFont="1" applyFill="1" applyBorder="1" applyAlignment="1">
      <alignment horizontal="center" vertical="top"/>
    </xf>
    <xf numFmtId="1" fontId="45" fillId="0" borderId="10" xfId="0" applyNumberFormat="1" applyFont="1" applyFill="1" applyBorder="1" applyAlignment="1">
      <alignment horizontal="center" vertical="top"/>
    </xf>
    <xf numFmtId="0" fontId="54" fillId="0" borderId="10" xfId="0" applyFont="1" applyFill="1" applyBorder="1" applyAlignment="1">
      <alignment vertical="top" wrapText="1"/>
    </xf>
    <xf numFmtId="0" fontId="54" fillId="0" borderId="10" xfId="0" applyFont="1" applyFill="1" applyBorder="1" applyAlignment="1">
      <alignment horizontal="center" vertical="top"/>
    </xf>
    <xf numFmtId="0" fontId="54" fillId="0" borderId="10" xfId="0" applyFont="1" applyFill="1" applyBorder="1" applyAlignment="1">
      <alignment vertical="top"/>
    </xf>
    <xf numFmtId="0" fontId="45" fillId="0" borderId="10" xfId="0" applyNumberFormat="1" applyFont="1" applyFill="1" applyBorder="1" applyAlignment="1">
      <alignment horizontal="center" vertical="top"/>
    </xf>
    <xf numFmtId="0" fontId="35" fillId="0" borderId="10" xfId="0" applyFont="1" applyFill="1" applyBorder="1" applyAlignment="1">
      <alignment vertical="top" wrapText="1"/>
    </xf>
    <xf numFmtId="0" fontId="35" fillId="0" borderId="10" xfId="0" applyFont="1" applyFill="1" applyBorder="1" applyAlignment="1">
      <alignment horizontal="left" vertical="top" wrapText="1"/>
    </xf>
    <xf numFmtId="0" fontId="54" fillId="0" borderId="10" xfId="0" applyFont="1" applyFill="1" applyBorder="1" applyAlignment="1">
      <alignment vertical="center" wrapText="1"/>
    </xf>
    <xf numFmtId="0" fontId="54" fillId="0" borderId="10" xfId="0" applyFont="1" applyFill="1" applyBorder="1" applyAlignment="1">
      <alignment horizontal="center" vertical="center" wrapText="1"/>
    </xf>
    <xf numFmtId="0" fontId="54" fillId="0" borderId="10" xfId="0" applyFont="1" applyFill="1" applyBorder="1" applyAlignment="1">
      <alignment horizontal="center" vertical="top" wrapText="1"/>
    </xf>
    <xf numFmtId="0" fontId="11" fillId="0" borderId="15"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7" fillId="0" borderId="0" xfId="0" applyFont="1" applyFill="1" applyAlignment="1">
      <alignment vertical="center" wrapText="1"/>
    </xf>
    <xf numFmtId="0" fontId="52" fillId="0" borderId="0" xfId="0" applyFont="1" applyFill="1" applyAlignment="1">
      <alignment vertical="center" wrapText="1"/>
    </xf>
    <xf numFmtId="0" fontId="48" fillId="0" borderId="0" xfId="0" applyFont="1" applyFill="1" applyAlignment="1">
      <alignment vertical="center" wrapText="1"/>
    </xf>
    <xf numFmtId="0" fontId="50" fillId="0" borderId="0" xfId="0" applyFont="1" applyFill="1" applyAlignment="1">
      <alignment vertical="center" wrapText="1"/>
    </xf>
    <xf numFmtId="0" fontId="43" fillId="0" borderId="0" xfId="0" applyFont="1" applyFill="1" applyAlignment="1">
      <alignment vertical="top" wrapText="1"/>
    </xf>
    <xf numFmtId="0" fontId="16" fillId="0" borderId="0" xfId="0" applyFont="1" applyFill="1" applyBorder="1" applyAlignment="1">
      <alignment vertical="center" wrapText="1"/>
    </xf>
    <xf numFmtId="2" fontId="27" fillId="0" borderId="0" xfId="0" applyNumberFormat="1" applyFont="1" applyFill="1" applyAlignment="1">
      <alignment horizontal="center" vertical="top" wrapText="1"/>
    </xf>
    <xf numFmtId="0" fontId="27" fillId="0" borderId="0" xfId="0" applyFont="1" applyFill="1" applyAlignment="1">
      <alignment vertical="top" wrapText="1"/>
    </xf>
    <xf numFmtId="0" fontId="5" fillId="0" borderId="0" xfId="0" applyFont="1" applyFill="1" applyAlignment="1">
      <alignment vertical="top"/>
    </xf>
    <xf numFmtId="0" fontId="45" fillId="0" borderId="10" xfId="0" applyNumberFormat="1" applyFont="1" applyFill="1" applyBorder="1" applyAlignment="1">
      <alignment horizontal="left" vertical="top" wrapText="1"/>
    </xf>
    <xf numFmtId="49" fontId="5" fillId="0" borderId="0" xfId="0" applyNumberFormat="1" applyFont="1" applyFill="1" applyAlignment="1">
      <alignment horizontal="center" wrapText="1"/>
    </xf>
    <xf numFmtId="0" fontId="28" fillId="0" borderId="0" xfId="0" applyFont="1" applyFill="1" applyBorder="1" applyAlignment="1">
      <alignment horizontal="left"/>
    </xf>
    <xf numFmtId="49" fontId="6" fillId="0" borderId="0" xfId="0" applyNumberFormat="1" applyFont="1" applyFill="1" applyBorder="1" applyAlignment="1">
      <alignment horizontal="left" vertical="center" wrapText="1"/>
    </xf>
    <xf numFmtId="0" fontId="45" fillId="0" borderId="0" xfId="0" applyFont="1" applyFill="1" applyBorder="1" applyAlignment="1">
      <alignment horizontal="left" vertical="top" wrapText="1"/>
    </xf>
    <xf numFmtId="2" fontId="30" fillId="0" borderId="0" xfId="0" applyNumberFormat="1" applyFont="1" applyFill="1" applyBorder="1" applyAlignment="1">
      <alignment horizontal="center" wrapText="1"/>
    </xf>
    <xf numFmtId="0" fontId="5" fillId="0" borderId="10" xfId="0" applyFont="1" applyFill="1" applyBorder="1" applyAlignment="1" applyProtection="1">
      <alignment horizontal="center" vertical="top" wrapText="1"/>
      <protection/>
    </xf>
    <xf numFmtId="0" fontId="33" fillId="0" borderId="0" xfId="0" applyFont="1" applyFill="1" applyBorder="1" applyAlignment="1">
      <alignment horizontal="center"/>
    </xf>
    <xf numFmtId="0" fontId="5" fillId="0" borderId="10" xfId="0" applyFont="1" applyFill="1" applyBorder="1" applyAlignment="1" applyProtection="1">
      <alignment horizontal="center"/>
      <protection/>
    </xf>
    <xf numFmtId="2" fontId="5" fillId="0" borderId="0" xfId="0" applyNumberFormat="1" applyFont="1" applyFill="1" applyBorder="1" applyAlignment="1">
      <alignment vertical="center" wrapText="1"/>
    </xf>
    <xf numFmtId="49" fontId="1" fillId="0" borderId="0" xfId="61" applyNumberFormat="1" applyFont="1" applyFill="1" applyAlignment="1">
      <alignment vertical="top" wrapText="1"/>
      <protection/>
    </xf>
    <xf numFmtId="2" fontId="2" fillId="0" borderId="0" xfId="61" applyNumberFormat="1" applyFont="1" applyFill="1" applyBorder="1" applyAlignment="1">
      <alignment vertical="center" wrapText="1"/>
      <protection/>
    </xf>
    <xf numFmtId="2" fontId="2" fillId="0" borderId="0" xfId="0" applyNumberFormat="1" applyFont="1" applyFill="1" applyBorder="1" applyAlignment="1">
      <alignment vertical="center" wrapText="1"/>
    </xf>
    <xf numFmtId="49" fontId="6" fillId="32" borderId="0" xfId="0" applyNumberFormat="1" applyFont="1" applyFill="1" applyAlignment="1">
      <alignment vertical="center" wrapText="1"/>
    </xf>
    <xf numFmtId="0" fontId="33" fillId="0" borderId="0" xfId="0" applyFont="1" applyFill="1" applyBorder="1" applyAlignment="1">
      <alignment horizontal="center" vertical="center" wrapText="1"/>
    </xf>
    <xf numFmtId="0" fontId="30" fillId="0" borderId="0" xfId="0" applyFont="1" applyFill="1" applyBorder="1" applyAlignment="1">
      <alignment horizontal="center" vertical="center"/>
    </xf>
    <xf numFmtId="0" fontId="51" fillId="0" borderId="0" xfId="0" applyFont="1" applyFill="1" applyBorder="1" applyAlignment="1">
      <alignment vertical="center"/>
    </xf>
    <xf numFmtId="0" fontId="35" fillId="0" borderId="0" xfId="0" applyFont="1" applyFill="1" applyAlignment="1">
      <alignment vertical="center"/>
    </xf>
    <xf numFmtId="0" fontId="35" fillId="0" borderId="0" xfId="0" applyFont="1" applyFill="1" applyAlignment="1">
      <alignment/>
    </xf>
    <xf numFmtId="0" fontId="17" fillId="32" borderId="0" xfId="0" applyFont="1" applyFill="1" applyBorder="1" applyAlignment="1">
      <alignment vertical="center" wrapText="1"/>
    </xf>
    <xf numFmtId="0" fontId="17" fillId="32" borderId="0" xfId="0" applyFont="1" applyFill="1" applyAlignment="1">
      <alignment/>
    </xf>
    <xf numFmtId="0" fontId="30" fillId="0" borderId="0" xfId="0" applyFont="1" applyFill="1" applyAlignment="1">
      <alignment/>
    </xf>
    <xf numFmtId="0" fontId="6" fillId="0" borderId="10" xfId="0" applyFont="1" applyFill="1" applyBorder="1" applyAlignment="1">
      <alignment horizontal="left" vertical="center" wrapText="1"/>
    </xf>
    <xf numFmtId="0" fontId="6" fillId="0" borderId="10" xfId="0" applyFont="1" applyFill="1" applyBorder="1" applyAlignment="1" applyProtection="1">
      <alignment horizontal="center" vertical="center"/>
      <protection/>
    </xf>
    <xf numFmtId="2" fontId="10" fillId="0" borderId="10" xfId="0" applyNumberFormat="1" applyFont="1" applyFill="1" applyBorder="1" applyAlignment="1">
      <alignment horizontal="center" vertical="center" wrapText="1"/>
    </xf>
    <xf numFmtId="0" fontId="6" fillId="0" borderId="15" xfId="0" applyNumberFormat="1" applyFont="1" applyFill="1" applyBorder="1" applyAlignment="1">
      <alignment vertical="center" wrapText="1"/>
    </xf>
    <xf numFmtId="0" fontId="6" fillId="0" borderId="16" xfId="0" applyNumberFormat="1" applyFont="1" applyFill="1" applyBorder="1" applyAlignment="1">
      <alignment vertical="center" wrapText="1"/>
    </xf>
    <xf numFmtId="0" fontId="6" fillId="0" borderId="17" xfId="0" applyNumberFormat="1" applyFont="1" applyFill="1" applyBorder="1" applyAlignment="1">
      <alignment vertical="center" wrapText="1"/>
    </xf>
    <xf numFmtId="2" fontId="6" fillId="0" borderId="13" xfId="0" applyNumberFormat="1" applyFont="1" applyFill="1" applyBorder="1" applyAlignment="1">
      <alignment horizontal="center" vertical="center" wrapText="1"/>
    </xf>
    <xf numFmtId="0" fontId="6" fillId="0" borderId="10" xfId="0" applyFont="1" applyFill="1" applyBorder="1" applyAlignment="1" applyProtection="1">
      <alignment horizontal="center" vertical="center" wrapText="1"/>
      <protection/>
    </xf>
    <xf numFmtId="4" fontId="6" fillId="0" borderId="15" xfId="0" applyNumberFormat="1" applyFont="1" applyFill="1" applyBorder="1" applyAlignment="1" applyProtection="1">
      <alignment horizontal="center" vertical="center"/>
      <protection/>
    </xf>
    <xf numFmtId="2" fontId="6" fillId="0" borderId="15" xfId="0" applyNumberFormat="1" applyFont="1" applyFill="1" applyBorder="1" applyAlignment="1">
      <alignment horizontal="center" vertical="center" wrapText="1"/>
    </xf>
    <xf numFmtId="0" fontId="6" fillId="0" borderId="10" xfId="0" applyFont="1" applyFill="1" applyBorder="1" applyAlignment="1">
      <alignment vertical="center" wrapText="1"/>
    </xf>
    <xf numFmtId="49" fontId="6" fillId="0" borderId="10" xfId="0" applyNumberFormat="1" applyFont="1" applyFill="1" applyBorder="1" applyAlignment="1">
      <alignment vertical="top" wrapText="1"/>
    </xf>
    <xf numFmtId="0" fontId="6" fillId="0" borderId="15" xfId="0" applyFont="1" applyFill="1" applyBorder="1" applyAlignment="1" applyProtection="1">
      <alignment horizontal="center" vertical="center" wrapText="1"/>
      <protection/>
    </xf>
    <xf numFmtId="1" fontId="6" fillId="0" borderId="10" xfId="0" applyNumberFormat="1" applyFont="1" applyFill="1" applyBorder="1" applyAlignment="1" applyProtection="1">
      <alignment vertical="center" wrapText="1"/>
      <protection/>
    </xf>
    <xf numFmtId="49" fontId="0" fillId="0" borderId="10" xfId="0" applyNumberFormat="1" applyFill="1" applyBorder="1" applyAlignment="1">
      <alignment wrapText="1"/>
    </xf>
    <xf numFmtId="1" fontId="10" fillId="0" borderId="10" xfId="0" applyNumberFormat="1" applyFont="1" applyFill="1" applyBorder="1" applyAlignment="1">
      <alignment horizontal="center" vertical="center" wrapText="1"/>
    </xf>
    <xf numFmtId="49" fontId="17" fillId="0" borderId="10" xfId="0" applyNumberFormat="1" applyFont="1" applyFill="1" applyBorder="1" applyAlignment="1">
      <alignment horizontal="center" vertical="center" wrapText="1"/>
    </xf>
    <xf numFmtId="196" fontId="17" fillId="0" borderId="10" xfId="61" applyNumberFormat="1" applyFont="1" applyFill="1" applyBorder="1" applyAlignment="1">
      <alignment horizontal="center" vertical="center" wrapText="1"/>
      <protection/>
    </xf>
    <xf numFmtId="2" fontId="12" fillId="0" borderId="10" xfId="0" applyNumberFormat="1" applyFont="1" applyFill="1" applyBorder="1" applyAlignment="1">
      <alignment horizontal="center" vertical="center" wrapText="1"/>
    </xf>
    <xf numFmtId="2" fontId="0" fillId="0" borderId="10" xfId="0" applyNumberFormat="1" applyFill="1" applyBorder="1" applyAlignment="1">
      <alignment horizontal="center" vertical="center" wrapText="1"/>
    </xf>
    <xf numFmtId="1" fontId="0" fillId="0" borderId="15" xfId="0" applyNumberFormat="1" applyFill="1" applyBorder="1" applyAlignment="1">
      <alignment vertical="center" wrapText="1"/>
    </xf>
    <xf numFmtId="1" fontId="0" fillId="0" borderId="16" xfId="0" applyNumberFormat="1" applyFill="1" applyBorder="1" applyAlignment="1">
      <alignment vertical="center" wrapText="1"/>
    </xf>
    <xf numFmtId="1" fontId="0" fillId="0" borderId="17" xfId="0" applyNumberFormat="1" applyFill="1" applyBorder="1" applyAlignment="1">
      <alignment vertical="center" wrapText="1"/>
    </xf>
    <xf numFmtId="0" fontId="6" fillId="0" borderId="10" xfId="0" applyFont="1" applyFill="1" applyBorder="1" applyAlignment="1">
      <alignment horizontal="center" vertical="center" wrapText="1"/>
    </xf>
    <xf numFmtId="1" fontId="6" fillId="0" borderId="10" xfId="0" applyNumberFormat="1" applyFont="1" applyFill="1" applyBorder="1" applyAlignment="1">
      <alignment horizontal="center" vertical="center" wrapText="1"/>
    </xf>
    <xf numFmtId="2" fontId="6" fillId="0" borderId="10" xfId="0" applyNumberFormat="1" applyFont="1" applyFill="1" applyBorder="1" applyAlignment="1">
      <alignment horizontal="center" vertical="center" wrapText="1"/>
    </xf>
    <xf numFmtId="1" fontId="6" fillId="0" borderId="10" xfId="0" applyNumberFormat="1" applyFont="1" applyFill="1" applyBorder="1" applyAlignment="1">
      <alignment horizontal="center" vertical="top" wrapText="1"/>
    </xf>
    <xf numFmtId="0" fontId="17" fillId="0" borderId="10" xfId="0" applyFont="1" applyFill="1" applyBorder="1" applyAlignment="1">
      <alignment horizontal="center" vertical="top" wrapText="1"/>
    </xf>
    <xf numFmtId="1" fontId="0" fillId="0" borderId="10" xfId="0" applyNumberFormat="1" applyFill="1" applyBorder="1" applyAlignment="1">
      <alignment horizontal="center" vertical="center"/>
    </xf>
    <xf numFmtId="2" fontId="17" fillId="0" borderId="13" xfId="0" applyNumberFormat="1" applyFont="1" applyFill="1" applyBorder="1" applyAlignment="1">
      <alignment horizontal="center" vertical="center" wrapText="1"/>
    </xf>
    <xf numFmtId="2" fontId="32" fillId="0" borderId="10" xfId="0" applyNumberFormat="1" applyFont="1" applyFill="1" applyBorder="1" applyAlignment="1">
      <alignment horizontal="center" vertical="center" wrapText="1"/>
    </xf>
    <xf numFmtId="1" fontId="17" fillId="0" borderId="10" xfId="0" applyNumberFormat="1" applyFont="1" applyFill="1" applyBorder="1" applyAlignment="1">
      <alignment horizontal="center" vertical="center" wrapText="1"/>
    </xf>
    <xf numFmtId="0" fontId="17" fillId="0" borderId="0" xfId="0" applyFont="1" applyFill="1" applyBorder="1" applyAlignment="1">
      <alignment horizontal="left" vertical="top"/>
    </xf>
    <xf numFmtId="0" fontId="5" fillId="0" borderId="0" xfId="0" applyFont="1" applyFill="1" applyBorder="1" applyAlignment="1">
      <alignment horizontal="center" vertical="top" wrapText="1"/>
    </xf>
    <xf numFmtId="0" fontId="50" fillId="0" borderId="0" xfId="0" applyFont="1" applyFill="1" applyBorder="1" applyAlignment="1">
      <alignment vertical="center" wrapText="1"/>
    </xf>
    <xf numFmtId="0" fontId="11" fillId="0" borderId="0" xfId="0" applyFont="1" applyFill="1" applyBorder="1" applyAlignment="1">
      <alignment horizontal="center" vertical="top" wrapText="1"/>
    </xf>
    <xf numFmtId="49" fontId="0" fillId="0" borderId="0" xfId="0" applyNumberFormat="1" applyFill="1" applyAlignment="1">
      <alignment wrapText="1"/>
    </xf>
    <xf numFmtId="1" fontId="6" fillId="0" borderId="15" xfId="0" applyNumberFormat="1" applyFont="1" applyFill="1" applyBorder="1" applyAlignment="1" applyProtection="1">
      <alignment vertical="center" wrapText="1"/>
      <protection/>
    </xf>
    <xf numFmtId="0" fontId="28" fillId="0" borderId="0" xfId="0" applyFont="1" applyFill="1" applyBorder="1" applyAlignment="1">
      <alignment vertical="top"/>
    </xf>
    <xf numFmtId="0" fontId="44" fillId="0" borderId="10" xfId="0" applyFont="1" applyFill="1" applyBorder="1" applyAlignment="1">
      <alignment horizontal="center" vertical="center" wrapText="1"/>
    </xf>
    <xf numFmtId="0" fontId="7" fillId="0" borderId="0" xfId="0" applyFont="1" applyFill="1" applyAlignment="1">
      <alignment vertical="top" wrapText="1"/>
    </xf>
    <xf numFmtId="0" fontId="64" fillId="0" borderId="0" xfId="0" applyFont="1" applyFill="1" applyAlignment="1">
      <alignment vertical="top" wrapText="1"/>
    </xf>
    <xf numFmtId="0" fontId="5" fillId="0" borderId="0" xfId="0" applyFont="1" applyFill="1" applyBorder="1" applyAlignment="1" quotePrefix="1">
      <alignment horizontal="center" vertical="top" wrapText="1"/>
    </xf>
    <xf numFmtId="0" fontId="47" fillId="0" borderId="0" xfId="0" applyFont="1" applyFill="1" applyAlignment="1">
      <alignment vertical="top" wrapText="1"/>
    </xf>
    <xf numFmtId="0" fontId="7" fillId="0" borderId="0" xfId="0" applyFont="1" applyFill="1" applyBorder="1" applyAlignment="1">
      <alignment vertical="top" wrapText="1"/>
    </xf>
    <xf numFmtId="0" fontId="0" fillId="0" borderId="0" xfId="0" applyFont="1" applyFill="1" applyAlignment="1">
      <alignment vertical="top" wrapText="1"/>
    </xf>
    <xf numFmtId="0" fontId="62" fillId="0" borderId="0" xfId="0" applyFont="1" applyFill="1" applyAlignment="1">
      <alignment vertical="top" wrapText="1"/>
    </xf>
    <xf numFmtId="0" fontId="58" fillId="0" borderId="10" xfId="0" applyFont="1" applyFill="1" applyBorder="1" applyAlignment="1">
      <alignment horizontal="center" vertical="top"/>
    </xf>
    <xf numFmtId="0" fontId="58" fillId="0" borderId="10" xfId="0" applyFont="1" applyFill="1" applyBorder="1" applyAlignment="1">
      <alignment vertical="top" wrapText="1"/>
    </xf>
    <xf numFmtId="0" fontId="58" fillId="0" borderId="10" xfId="0" applyFont="1" applyFill="1" applyBorder="1" applyAlignment="1">
      <alignment horizontal="center" vertical="top" wrapText="1"/>
    </xf>
    <xf numFmtId="2" fontId="59" fillId="0" borderId="10" xfId="0" applyNumberFormat="1" applyFont="1" applyFill="1" applyBorder="1" applyAlignment="1">
      <alignment horizontal="left" vertical="top" wrapText="1"/>
    </xf>
    <xf numFmtId="2" fontId="58" fillId="0" borderId="10" xfId="0" applyNumberFormat="1" applyFont="1" applyFill="1" applyBorder="1" applyAlignment="1">
      <alignment horizontal="center" vertical="top"/>
    </xf>
    <xf numFmtId="199" fontId="58" fillId="0" borderId="10" xfId="0" applyNumberFormat="1" applyFont="1" applyFill="1" applyBorder="1" applyAlignment="1">
      <alignment horizontal="center" vertical="top"/>
    </xf>
    <xf numFmtId="2" fontId="58" fillId="0" borderId="10" xfId="0" applyNumberFormat="1" applyFont="1" applyFill="1" applyBorder="1" applyAlignment="1">
      <alignment horizontal="center" vertical="center"/>
    </xf>
    <xf numFmtId="2" fontId="59" fillId="0" borderId="10" xfId="0" applyNumberFormat="1" applyFont="1" applyFill="1" applyBorder="1" applyAlignment="1">
      <alignment horizontal="center" vertical="top" wrapText="1"/>
    </xf>
    <xf numFmtId="0" fontId="67" fillId="0" borderId="0" xfId="0" applyFont="1" applyFill="1" applyAlignment="1">
      <alignment/>
    </xf>
    <xf numFmtId="0" fontId="61" fillId="0" borderId="0" xfId="0" applyFont="1" applyFill="1" applyAlignment="1">
      <alignment/>
    </xf>
    <xf numFmtId="0" fontId="58" fillId="0" borderId="10" xfId="0" applyFont="1" applyFill="1" applyBorder="1" applyAlignment="1">
      <alignment horizontal="left" vertical="center" wrapText="1"/>
    </xf>
    <xf numFmtId="0" fontId="58" fillId="0" borderId="10" xfId="0" applyFont="1" applyFill="1" applyBorder="1" applyAlignment="1">
      <alignment horizontal="center" vertical="center"/>
    </xf>
    <xf numFmtId="0" fontId="58" fillId="0" borderId="10" xfId="0" applyFont="1" applyFill="1" applyBorder="1" applyAlignment="1">
      <alignment vertical="center" wrapText="1"/>
    </xf>
    <xf numFmtId="0" fontId="58" fillId="0" borderId="10" xfId="0" applyFont="1" applyFill="1" applyBorder="1" applyAlignment="1">
      <alignment horizontal="center" vertical="center" wrapText="1"/>
    </xf>
    <xf numFmtId="0" fontId="61" fillId="0" borderId="10" xfId="0" applyFont="1" applyFill="1" applyBorder="1" applyAlignment="1">
      <alignment/>
    </xf>
    <xf numFmtId="0" fontId="58" fillId="0" borderId="10" xfId="0" applyNumberFormat="1" applyFont="1" applyFill="1" applyBorder="1" applyAlignment="1">
      <alignment horizontal="center" vertical="top" wrapText="1"/>
    </xf>
    <xf numFmtId="2" fontId="67" fillId="0" borderId="10" xfId="0" applyNumberFormat="1" applyFont="1" applyFill="1" applyBorder="1" applyAlignment="1">
      <alignment horizontal="center" vertical="center"/>
    </xf>
    <xf numFmtId="0" fontId="58" fillId="0" borderId="10" xfId="0" applyFont="1" applyFill="1" applyBorder="1" applyAlignment="1">
      <alignment horizontal="left" vertical="top" wrapText="1"/>
    </xf>
    <xf numFmtId="1" fontId="58" fillId="0" borderId="10" xfId="0" applyNumberFormat="1" applyFont="1" applyFill="1" applyBorder="1" applyAlignment="1">
      <alignment horizontal="center" vertical="center" wrapText="1"/>
    </xf>
    <xf numFmtId="1" fontId="58" fillId="0" borderId="10" xfId="0" applyNumberFormat="1" applyFont="1" applyFill="1" applyBorder="1" applyAlignment="1">
      <alignment horizontal="center" vertical="top"/>
    </xf>
    <xf numFmtId="2" fontId="58" fillId="0" borderId="10" xfId="0" applyNumberFormat="1" applyFont="1" applyFill="1" applyBorder="1" applyAlignment="1">
      <alignment horizontal="center" vertical="top" wrapText="1"/>
    </xf>
    <xf numFmtId="0" fontId="68" fillId="0" borderId="0" xfId="0" applyFont="1" applyFill="1" applyAlignment="1">
      <alignment/>
    </xf>
    <xf numFmtId="0" fontId="35" fillId="0" borderId="0" xfId="0" applyFont="1" applyFill="1" applyBorder="1" applyAlignment="1">
      <alignment vertical="center" wrapText="1"/>
    </xf>
    <xf numFmtId="0" fontId="0" fillId="0" borderId="0" xfId="0" applyFont="1" applyFill="1" applyBorder="1" applyAlignment="1">
      <alignment horizontal="left" vertical="center"/>
    </xf>
    <xf numFmtId="0" fontId="28" fillId="0" borderId="0" xfId="0" applyFont="1" applyFill="1" applyBorder="1" applyAlignment="1">
      <alignment/>
    </xf>
    <xf numFmtId="0" fontId="30" fillId="0" borderId="0" xfId="0" applyFont="1" applyFill="1" applyBorder="1" applyAlignment="1">
      <alignment vertical="center" wrapText="1"/>
    </xf>
    <xf numFmtId="0" fontId="0" fillId="32" borderId="0" xfId="0" applyFill="1" applyAlignment="1">
      <alignment/>
    </xf>
    <xf numFmtId="0" fontId="5" fillId="0" borderId="0" xfId="0" applyFont="1" applyFill="1" applyBorder="1" applyAlignment="1" applyProtection="1">
      <alignment vertical="center" wrapText="1"/>
      <protection/>
    </xf>
    <xf numFmtId="0" fontId="0" fillId="32" borderId="14" xfId="0" applyFont="1" applyFill="1" applyBorder="1" applyAlignment="1">
      <alignment vertical="center" wrapText="1"/>
    </xf>
    <xf numFmtId="0" fontId="0" fillId="0" borderId="0" xfId="0" applyFont="1" applyFill="1" applyBorder="1" applyAlignment="1">
      <alignment vertical="center" wrapText="1"/>
    </xf>
    <xf numFmtId="0" fontId="17" fillId="32" borderId="14" xfId="0" applyFont="1" applyFill="1" applyBorder="1" applyAlignment="1">
      <alignment vertical="center" wrapText="1"/>
    </xf>
    <xf numFmtId="0" fontId="0" fillId="32" borderId="0" xfId="0" applyFill="1" applyAlignment="1">
      <alignment vertical="center"/>
    </xf>
    <xf numFmtId="49" fontId="0" fillId="32" borderId="0" xfId="0" applyNumberFormat="1" applyFill="1" applyAlignment="1">
      <alignment wrapText="1"/>
    </xf>
    <xf numFmtId="0" fontId="0" fillId="32" borderId="0" xfId="0" applyFill="1" applyBorder="1" applyAlignment="1">
      <alignment/>
    </xf>
    <xf numFmtId="0" fontId="0" fillId="0" borderId="11" xfId="0" applyFill="1" applyBorder="1" applyAlignment="1">
      <alignment/>
    </xf>
    <xf numFmtId="0" fontId="1" fillId="0" borderId="14" xfId="0" applyFont="1" applyFill="1" applyBorder="1" applyAlignment="1">
      <alignment horizontal="center" vertical="center"/>
    </xf>
    <xf numFmtId="0" fontId="1" fillId="0" borderId="14" xfId="0" applyFont="1" applyFill="1" applyBorder="1" applyAlignment="1">
      <alignment horizontal="center"/>
    </xf>
    <xf numFmtId="0" fontId="1" fillId="0" borderId="0" xfId="0" applyFont="1" applyFill="1" applyBorder="1" applyAlignment="1">
      <alignment wrapText="1"/>
    </xf>
    <xf numFmtId="0" fontId="0" fillId="0" borderId="0" xfId="0" applyNumberFormat="1" applyFill="1" applyBorder="1" applyAlignment="1">
      <alignment/>
    </xf>
    <xf numFmtId="2" fontId="0" fillId="0" borderId="14" xfId="0" applyNumberFormat="1" applyFill="1" applyBorder="1" applyAlignment="1">
      <alignment horizontal="center"/>
    </xf>
    <xf numFmtId="2" fontId="0" fillId="0" borderId="0" xfId="0" applyNumberFormat="1" applyFill="1" applyBorder="1" applyAlignment="1">
      <alignment horizontal="center" vertical="center"/>
    </xf>
    <xf numFmtId="2" fontId="0" fillId="0" borderId="0" xfId="0" applyNumberFormat="1" applyFill="1" applyBorder="1" applyAlignment="1">
      <alignment horizontal="center" vertical="top"/>
    </xf>
    <xf numFmtId="2" fontId="0" fillId="0" borderId="0" xfId="0" applyNumberFormat="1" applyFont="1" applyFill="1" applyBorder="1" applyAlignment="1">
      <alignment horizontal="center"/>
    </xf>
    <xf numFmtId="0" fontId="0" fillId="0" borderId="0" xfId="0" applyFont="1" applyFill="1" applyBorder="1" applyAlignment="1">
      <alignment vertical="top" wrapText="1"/>
    </xf>
    <xf numFmtId="2" fontId="0" fillId="0" borderId="0" xfId="0" applyNumberFormat="1" applyFont="1" applyFill="1" applyBorder="1" applyAlignment="1">
      <alignment horizontal="center" vertical="center"/>
    </xf>
    <xf numFmtId="2" fontId="0" fillId="0" borderId="0" xfId="0" applyNumberFormat="1" applyFont="1" applyFill="1" applyBorder="1" applyAlignment="1">
      <alignment horizontal="center" vertical="top"/>
    </xf>
    <xf numFmtId="2" fontId="1" fillId="0" borderId="14" xfId="0" applyNumberFormat="1" applyFont="1" applyFill="1" applyBorder="1" applyAlignment="1">
      <alignment horizontal="center"/>
    </xf>
    <xf numFmtId="0" fontId="0" fillId="0" borderId="0" xfId="0" applyNumberFormat="1" applyFont="1" applyFill="1" applyBorder="1" applyAlignment="1">
      <alignment/>
    </xf>
    <xf numFmtId="2" fontId="1" fillId="0" borderId="14" xfId="0" applyNumberFormat="1" applyFont="1" applyFill="1" applyBorder="1" applyAlignment="1">
      <alignment horizontal="center"/>
    </xf>
    <xf numFmtId="2" fontId="0" fillId="0" borderId="14" xfId="0" applyNumberFormat="1" applyFill="1" applyBorder="1" applyAlignment="1">
      <alignment horizontal="center" vertical="center"/>
    </xf>
    <xf numFmtId="2" fontId="22" fillId="0" borderId="0" xfId="0" applyNumberFormat="1" applyFont="1" applyFill="1" applyBorder="1" applyAlignment="1">
      <alignment horizontal="center" vertical="top"/>
    </xf>
    <xf numFmtId="2" fontId="39" fillId="0" borderId="0" xfId="0" applyNumberFormat="1" applyFont="1" applyFill="1" applyBorder="1" applyAlignment="1">
      <alignment horizontal="center" vertical="top"/>
    </xf>
    <xf numFmtId="0" fontId="0" fillId="0" borderId="0" xfId="0" applyFill="1" applyBorder="1" applyAlignment="1">
      <alignment horizontal="left" vertical="top" wrapText="1"/>
    </xf>
    <xf numFmtId="49" fontId="22" fillId="0" borderId="0" xfId="0" applyNumberFormat="1" applyFont="1" applyFill="1" applyBorder="1" applyAlignment="1">
      <alignment vertical="center" wrapText="1"/>
    </xf>
    <xf numFmtId="2" fontId="0" fillId="32" borderId="0" xfId="0" applyNumberFormat="1" applyFont="1" applyFill="1" applyBorder="1" applyAlignment="1">
      <alignment horizontal="left" vertical="center"/>
    </xf>
    <xf numFmtId="0" fontId="0" fillId="32" borderId="0" xfId="0" applyFont="1" applyFill="1" applyBorder="1" applyAlignment="1">
      <alignment/>
    </xf>
    <xf numFmtId="0" fontId="44" fillId="0" borderId="10" xfId="0" applyFont="1" applyFill="1" applyBorder="1" applyAlignment="1">
      <alignment horizontal="center" vertical="center"/>
    </xf>
    <xf numFmtId="0" fontId="44" fillId="0" borderId="10" xfId="0" applyFont="1" applyFill="1" applyBorder="1" applyAlignment="1">
      <alignment horizontal="center"/>
    </xf>
    <xf numFmtId="0" fontId="44" fillId="0" borderId="12" xfId="0" applyFont="1" applyFill="1" applyBorder="1" applyAlignment="1">
      <alignment horizontal="center"/>
    </xf>
    <xf numFmtId="0" fontId="6" fillId="0" borderId="10" xfId="0" applyFont="1" applyFill="1" applyBorder="1" applyAlignment="1" quotePrefix="1">
      <alignment horizontal="center" vertical="center" wrapText="1"/>
    </xf>
    <xf numFmtId="0" fontId="6" fillId="0" borderId="10" xfId="0" applyFont="1" applyFill="1" applyBorder="1" applyAlignment="1" quotePrefix="1">
      <alignment horizontal="center" vertical="top" wrapText="1"/>
    </xf>
    <xf numFmtId="0" fontId="17" fillId="0" borderId="14" xfId="0" applyFont="1" applyFill="1" applyBorder="1" applyAlignment="1">
      <alignment vertical="center" wrapText="1"/>
    </xf>
    <xf numFmtId="0" fontId="45" fillId="0" borderId="10" xfId="0" applyFont="1" applyFill="1" applyBorder="1" applyAlignment="1">
      <alignment/>
    </xf>
    <xf numFmtId="0" fontId="58" fillId="0" borderId="10" xfId="0" applyFont="1" applyFill="1" applyBorder="1" applyAlignment="1">
      <alignment vertical="top"/>
    </xf>
    <xf numFmtId="0" fontId="58" fillId="0" borderId="10" xfId="0" applyFont="1" applyFill="1" applyBorder="1" applyAlignment="1">
      <alignment/>
    </xf>
    <xf numFmtId="0" fontId="35" fillId="0" borderId="10" xfId="0" applyFont="1" applyFill="1" applyBorder="1" applyAlignment="1">
      <alignment horizontal="center" vertical="center" wrapText="1"/>
    </xf>
    <xf numFmtId="49" fontId="6" fillId="0" borderId="0" xfId="0" applyNumberFormat="1" applyFont="1" applyFill="1" applyAlignment="1">
      <alignment horizontal="center" vertical="center" wrapText="1"/>
    </xf>
    <xf numFmtId="49" fontId="0" fillId="32" borderId="0" xfId="0" applyNumberFormat="1" applyFont="1" applyFill="1" applyAlignment="1">
      <alignment vertical="center" wrapText="1"/>
    </xf>
    <xf numFmtId="2" fontId="5" fillId="0" borderId="0" xfId="0" applyNumberFormat="1" applyFont="1" applyFill="1" applyBorder="1" applyAlignment="1">
      <alignment wrapText="1"/>
    </xf>
    <xf numFmtId="0" fontId="0" fillId="32" borderId="0" xfId="0" applyFont="1" applyFill="1" applyAlignment="1">
      <alignment/>
    </xf>
    <xf numFmtId="0" fontId="17" fillId="32" borderId="0" xfId="0" applyFont="1" applyFill="1" applyAlignment="1">
      <alignment/>
    </xf>
    <xf numFmtId="0" fontId="17" fillId="32" borderId="14" xfId="0" applyFont="1" applyFill="1" applyBorder="1" applyAlignment="1">
      <alignment vertical="center"/>
    </xf>
    <xf numFmtId="49" fontId="17" fillId="0" borderId="0" xfId="0" applyNumberFormat="1" applyFont="1" applyFill="1" applyBorder="1" applyAlignment="1">
      <alignment horizontal="center" wrapText="1"/>
    </xf>
    <xf numFmtId="0" fontId="17" fillId="0" borderId="0" xfId="0" applyNumberFormat="1" applyFont="1" applyFill="1" applyBorder="1" applyAlignment="1">
      <alignment horizontal="center" vertical="center" wrapText="1"/>
    </xf>
    <xf numFmtId="0" fontId="17" fillId="0" borderId="15" xfId="61" applyNumberFormat="1" applyFont="1" applyFill="1" applyBorder="1" applyAlignment="1">
      <alignment vertical="center" wrapText="1"/>
      <protection/>
    </xf>
    <xf numFmtId="0" fontId="17" fillId="0" borderId="16" xfId="61" applyNumberFormat="1" applyFont="1" applyFill="1" applyBorder="1" applyAlignment="1">
      <alignment vertical="center" wrapText="1"/>
      <protection/>
    </xf>
    <xf numFmtId="0" fontId="17" fillId="0" borderId="17" xfId="61" applyNumberFormat="1" applyFont="1" applyFill="1" applyBorder="1" applyAlignment="1">
      <alignment vertical="center" wrapText="1"/>
      <protection/>
    </xf>
    <xf numFmtId="0" fontId="62" fillId="32" borderId="0" xfId="0" applyFont="1" applyFill="1" applyAlignment="1">
      <alignment vertical="center" wrapText="1"/>
    </xf>
    <xf numFmtId="49" fontId="66" fillId="0" borderId="0" xfId="0" applyNumberFormat="1" applyFont="1" applyFill="1" applyAlignment="1">
      <alignment vertical="center" wrapText="1"/>
    </xf>
    <xf numFmtId="0" fontId="69" fillId="0" borderId="0" xfId="0" applyFont="1" applyFill="1" applyAlignment="1">
      <alignment vertical="center"/>
    </xf>
    <xf numFmtId="0" fontId="0" fillId="32" borderId="0" xfId="0" applyFont="1" applyFill="1" applyAlignment="1">
      <alignment horizontal="left"/>
    </xf>
    <xf numFmtId="2" fontId="0" fillId="32" borderId="0" xfId="0" applyNumberFormat="1" applyFill="1" applyBorder="1" applyAlignment="1">
      <alignment horizontal="left"/>
    </xf>
    <xf numFmtId="2" fontId="0" fillId="0" borderId="0" xfId="0" applyNumberFormat="1" applyFill="1" applyBorder="1" applyAlignment="1">
      <alignment horizontal="left" vertical="center"/>
    </xf>
    <xf numFmtId="2" fontId="0" fillId="0" borderId="0" xfId="0" applyNumberFormat="1" applyFill="1" applyBorder="1" applyAlignment="1">
      <alignment horizontal="left"/>
    </xf>
    <xf numFmtId="2" fontId="0" fillId="32" borderId="0" xfId="0" applyNumberFormat="1" applyFill="1" applyBorder="1" applyAlignment="1">
      <alignment horizontal="left" vertical="top"/>
    </xf>
    <xf numFmtId="2" fontId="0" fillId="32" borderId="0" xfId="0" applyNumberFormat="1" applyFont="1" applyFill="1" applyBorder="1" applyAlignment="1">
      <alignment horizontal="left" vertical="center" wrapText="1"/>
    </xf>
    <xf numFmtId="2" fontId="0" fillId="32" borderId="0" xfId="0" applyNumberFormat="1" applyFont="1" applyFill="1" applyBorder="1" applyAlignment="1">
      <alignment horizontal="left" vertical="top" wrapText="1"/>
    </xf>
    <xf numFmtId="2" fontId="0" fillId="0" borderId="0" xfId="0" applyNumberFormat="1" applyFont="1" applyFill="1" applyBorder="1" applyAlignment="1">
      <alignment horizontal="left" vertical="center"/>
    </xf>
    <xf numFmtId="0" fontId="17" fillId="0" borderId="0" xfId="0" applyNumberFormat="1" applyFont="1" applyFill="1" applyBorder="1" applyAlignment="1">
      <alignment horizontal="center" vertical="top" wrapText="1"/>
    </xf>
    <xf numFmtId="0" fontId="22" fillId="0" borderId="0" xfId="0" applyFont="1" applyFill="1" applyBorder="1" applyAlignment="1">
      <alignment vertical="center" wrapText="1"/>
    </xf>
    <xf numFmtId="0" fontId="45" fillId="0" borderId="0" xfId="0" applyFont="1" applyFill="1" applyBorder="1" applyAlignment="1">
      <alignment vertical="top" wrapText="1"/>
    </xf>
    <xf numFmtId="2" fontId="35" fillId="0" borderId="10" xfId="0" applyNumberFormat="1" applyFont="1" applyFill="1" applyBorder="1" applyAlignment="1">
      <alignment horizontal="center" vertical="top" wrapText="1"/>
    </xf>
    <xf numFmtId="0" fontId="35" fillId="0" borderId="0" xfId="0" applyFont="1" applyFill="1" applyBorder="1" applyAlignment="1">
      <alignment horizontal="left" vertical="top" wrapText="1"/>
    </xf>
    <xf numFmtId="0" fontId="45" fillId="0" borderId="0" xfId="0" applyFont="1" applyFill="1" applyBorder="1" applyAlignment="1">
      <alignment horizontal="center" vertical="top" wrapText="1"/>
    </xf>
    <xf numFmtId="0" fontId="45" fillId="0" borderId="0" xfId="0" applyNumberFormat="1" applyFont="1" applyFill="1" applyBorder="1" applyAlignment="1">
      <alignment horizontal="center" vertical="top"/>
    </xf>
    <xf numFmtId="0" fontId="45" fillId="0" borderId="10" xfId="0" applyNumberFormat="1" applyFont="1" applyFill="1" applyBorder="1" applyAlignment="1">
      <alignment horizontal="left" vertical="top"/>
    </xf>
    <xf numFmtId="0" fontId="17" fillId="32" borderId="0" xfId="0" applyFont="1" applyFill="1" applyBorder="1" applyAlignment="1">
      <alignment vertical="top" wrapText="1"/>
    </xf>
    <xf numFmtId="49" fontId="0" fillId="32" borderId="0" xfId="0" applyNumberFormat="1" applyFill="1" applyAlignment="1">
      <alignment vertical="center" wrapText="1"/>
    </xf>
    <xf numFmtId="0" fontId="17" fillId="0" borderId="0" xfId="0" applyNumberFormat="1" applyFont="1" applyFill="1" applyBorder="1" applyAlignment="1">
      <alignment horizontal="center" vertical="top" wrapText="1"/>
    </xf>
    <xf numFmtId="0" fontId="17" fillId="0" borderId="0" xfId="0" applyFont="1" applyFill="1" applyBorder="1" applyAlignment="1">
      <alignment horizontal="center"/>
    </xf>
    <xf numFmtId="0" fontId="6" fillId="0" borderId="12" xfId="0" applyFont="1" applyFill="1" applyBorder="1" applyAlignment="1">
      <alignment horizontal="center" vertical="center"/>
    </xf>
    <xf numFmtId="0" fontId="17" fillId="0" borderId="0" xfId="0" applyFont="1" applyFill="1" applyAlignment="1">
      <alignment horizontal="center"/>
    </xf>
    <xf numFmtId="2" fontId="17" fillId="0" borderId="0" xfId="0" applyNumberFormat="1" applyFont="1" applyFill="1" applyAlignment="1">
      <alignment horizontal="center"/>
    </xf>
    <xf numFmtId="0" fontId="0" fillId="32" borderId="0" xfId="0" applyFont="1" applyFill="1" applyBorder="1" applyAlignment="1">
      <alignment vertical="center" wrapText="1"/>
    </xf>
    <xf numFmtId="0" fontId="0" fillId="0" borderId="0" xfId="0" applyFont="1" applyFill="1" applyBorder="1" applyAlignment="1">
      <alignment vertical="center"/>
    </xf>
    <xf numFmtId="49" fontId="0" fillId="0" borderId="0" xfId="0" applyNumberFormat="1" applyFont="1" applyFill="1" applyBorder="1" applyAlignment="1">
      <alignment vertical="center" wrapText="1"/>
    </xf>
    <xf numFmtId="1" fontId="0" fillId="0" borderId="0" xfId="0" applyNumberFormat="1" applyFill="1" applyAlignment="1">
      <alignment/>
    </xf>
    <xf numFmtId="1" fontId="6" fillId="0" borderId="0" xfId="0" applyNumberFormat="1" applyFont="1" applyFill="1" applyBorder="1" applyAlignment="1">
      <alignment horizontal="center" vertical="top" wrapText="1"/>
    </xf>
    <xf numFmtId="2" fontId="6" fillId="0" borderId="0" xfId="0" applyNumberFormat="1" applyFont="1" applyFill="1" applyBorder="1" applyAlignment="1">
      <alignment horizontal="center" vertical="top" wrapText="1"/>
    </xf>
    <xf numFmtId="2" fontId="17" fillId="0" borderId="0" xfId="0" applyNumberFormat="1" applyFont="1" applyFill="1" applyBorder="1" applyAlignment="1">
      <alignment horizontal="center" vertical="center"/>
    </xf>
    <xf numFmtId="0" fontId="1" fillId="32" borderId="0" xfId="0" applyFont="1" applyFill="1" applyBorder="1" applyAlignment="1">
      <alignment vertical="center"/>
    </xf>
    <xf numFmtId="0" fontId="0" fillId="0" borderId="0" xfId="0" applyFont="1" applyFill="1" applyBorder="1" applyAlignment="1">
      <alignment/>
    </xf>
    <xf numFmtId="0" fontId="72" fillId="0" borderId="0" xfId="0" applyFont="1" applyFill="1" applyAlignment="1">
      <alignment/>
    </xf>
    <xf numFmtId="1" fontId="6" fillId="0" borderId="0" xfId="0" applyNumberFormat="1" applyFont="1" applyFill="1" applyBorder="1" applyAlignment="1">
      <alignment horizontal="center" vertical="center" wrapText="1"/>
    </xf>
    <xf numFmtId="2" fontId="10" fillId="0" borderId="0" xfId="0" applyNumberFormat="1" applyFont="1" applyFill="1" applyBorder="1" applyAlignment="1">
      <alignment horizontal="center" vertical="center" wrapText="1"/>
    </xf>
    <xf numFmtId="0" fontId="6" fillId="0" borderId="10" xfId="0" applyNumberFormat="1" applyFont="1" applyFill="1" applyBorder="1" applyAlignment="1">
      <alignment vertical="center" wrapText="1"/>
    </xf>
    <xf numFmtId="2" fontId="5" fillId="0" borderId="11" xfId="0" applyNumberFormat="1" applyFont="1" applyFill="1" applyBorder="1" applyAlignment="1">
      <alignment wrapText="1"/>
    </xf>
    <xf numFmtId="0" fontId="17" fillId="32" borderId="10" xfId="0" applyFont="1" applyFill="1" applyBorder="1" applyAlignment="1">
      <alignment horizontal="left" vertical="top" wrapText="1"/>
    </xf>
    <xf numFmtId="0" fontId="6" fillId="0" borderId="0" xfId="0" applyFont="1" applyFill="1" applyBorder="1" applyAlignment="1">
      <alignment horizontal="center" vertical="center"/>
    </xf>
    <xf numFmtId="2" fontId="2" fillId="0" borderId="11" xfId="0" applyNumberFormat="1" applyFont="1" applyFill="1" applyBorder="1" applyAlignment="1">
      <alignment wrapText="1"/>
    </xf>
    <xf numFmtId="0" fontId="17" fillId="0" borderId="0" xfId="0" applyFont="1" applyFill="1" applyBorder="1" applyAlignment="1">
      <alignment horizontal="left" vertical="center" wrapText="1"/>
    </xf>
    <xf numFmtId="0" fontId="17" fillId="0" borderId="10" xfId="0" applyFont="1" applyFill="1" applyBorder="1" applyAlignment="1">
      <alignment horizontal="left" vertical="top" wrapText="1"/>
    </xf>
    <xf numFmtId="0" fontId="17" fillId="0" borderId="0" xfId="0" applyFont="1" applyFill="1" applyBorder="1" applyAlignment="1">
      <alignment horizontal="center" vertical="center" wrapText="1"/>
    </xf>
    <xf numFmtId="0" fontId="7" fillId="0" borderId="0" xfId="0" applyFont="1" applyFill="1" applyAlignment="1">
      <alignment vertical="top"/>
    </xf>
    <xf numFmtId="0" fontId="17" fillId="0" borderId="0" xfId="0" applyFont="1" applyFill="1" applyBorder="1" applyAlignment="1">
      <alignment vertical="center" wrapText="1"/>
    </xf>
    <xf numFmtId="0" fontId="6" fillId="0" borderId="19" xfId="0" applyFont="1" applyFill="1" applyBorder="1" applyAlignment="1">
      <alignment horizontal="center" vertical="center" wrapText="1"/>
    </xf>
    <xf numFmtId="0" fontId="6" fillId="0" borderId="13" xfId="0" applyFont="1" applyFill="1" applyBorder="1" applyAlignment="1" applyProtection="1">
      <alignment horizontal="center" vertical="center"/>
      <protection/>
    </xf>
    <xf numFmtId="2" fontId="5" fillId="0" borderId="15"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left" vertical="center" wrapText="1"/>
    </xf>
    <xf numFmtId="0" fontId="11" fillId="0" borderId="10" xfId="0" applyFont="1" applyFill="1" applyBorder="1" applyAlignment="1">
      <alignment horizontal="center" vertical="top" wrapText="1"/>
    </xf>
    <xf numFmtId="0" fontId="17" fillId="0" borderId="12" xfId="0" applyFont="1" applyFill="1" applyBorder="1" applyAlignment="1">
      <alignment horizontal="center" vertical="top"/>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vertical="center"/>
    </xf>
    <xf numFmtId="49" fontId="6" fillId="0" borderId="13" xfId="0" applyNumberFormat="1" applyFont="1" applyFill="1" applyBorder="1" applyAlignment="1">
      <alignment horizontal="center" vertical="center" wrapText="1"/>
    </xf>
    <xf numFmtId="0" fontId="1" fillId="0" borderId="17" xfId="0" applyFont="1" applyFill="1" applyBorder="1" applyAlignment="1">
      <alignment horizontal="center"/>
    </xf>
    <xf numFmtId="0" fontId="17" fillId="0" borderId="13" xfId="0" applyFont="1" applyFill="1" applyBorder="1" applyAlignment="1">
      <alignment horizontal="center" vertical="center" wrapText="1"/>
    </xf>
    <xf numFmtId="0" fontId="0" fillId="0" borderId="10" xfId="0" applyFont="1" applyFill="1" applyBorder="1" applyAlignment="1">
      <alignment horizontal="left" vertical="top"/>
    </xf>
    <xf numFmtId="49" fontId="17" fillId="0" borderId="0" xfId="0" applyNumberFormat="1" applyFont="1" applyFill="1" applyBorder="1" applyAlignment="1">
      <alignment vertical="top" wrapText="1"/>
    </xf>
    <xf numFmtId="0" fontId="6" fillId="0" borderId="13" xfId="0" applyFont="1" applyFill="1" applyBorder="1" applyAlignment="1">
      <alignment horizontal="center" vertical="center" wrapText="1"/>
    </xf>
    <xf numFmtId="0" fontId="17" fillId="0" borderId="10" xfId="0" applyFont="1" applyFill="1" applyBorder="1" applyAlignment="1">
      <alignment horizontal="center" vertical="top"/>
    </xf>
    <xf numFmtId="0" fontId="5" fillId="0" borderId="10" xfId="66" applyFont="1" applyFill="1" applyBorder="1" applyAlignment="1">
      <alignment horizontal="left" vertical="top" wrapText="1"/>
      <protection/>
    </xf>
    <xf numFmtId="0" fontId="48" fillId="0" borderId="10" xfId="0" applyFont="1" applyFill="1" applyBorder="1" applyAlignment="1">
      <alignment horizontal="center" vertical="top" wrapText="1"/>
    </xf>
    <xf numFmtId="0" fontId="5" fillId="0" borderId="16" xfId="0" applyFont="1" applyFill="1" applyBorder="1" applyAlignment="1">
      <alignment vertical="top" wrapText="1"/>
    </xf>
    <xf numFmtId="0" fontId="5" fillId="0" borderId="17" xfId="0" applyFont="1" applyFill="1" applyBorder="1" applyAlignment="1">
      <alignment vertical="top" wrapText="1"/>
    </xf>
    <xf numFmtId="0" fontId="7" fillId="0" borderId="14" xfId="0" applyFont="1" applyFill="1" applyBorder="1" applyAlignment="1">
      <alignment vertical="top" wrapText="1"/>
    </xf>
    <xf numFmtId="0" fontId="7" fillId="0" borderId="10" xfId="0" applyFont="1" applyFill="1" applyBorder="1" applyAlignment="1">
      <alignment vertical="top" wrapText="1"/>
    </xf>
    <xf numFmtId="0" fontId="7" fillId="0" borderId="10" xfId="0" applyFont="1" applyFill="1" applyBorder="1" applyAlignment="1">
      <alignment horizontal="center" vertical="top" wrapText="1"/>
    </xf>
    <xf numFmtId="1" fontId="11" fillId="0" borderId="10" xfId="0" applyNumberFormat="1" applyFont="1" applyFill="1" applyBorder="1" applyAlignment="1">
      <alignment horizontal="center" vertical="top" wrapText="1"/>
    </xf>
    <xf numFmtId="2" fontId="11" fillId="0" borderId="10" xfId="0" applyNumberFormat="1" applyFont="1" applyFill="1" applyBorder="1" applyAlignment="1">
      <alignment horizontal="center" vertical="top" wrapText="1"/>
    </xf>
    <xf numFmtId="0" fontId="7" fillId="0" borderId="22" xfId="0" applyFont="1" applyFill="1" applyBorder="1" applyAlignment="1">
      <alignment horizontal="center" vertical="top" wrapText="1"/>
    </xf>
    <xf numFmtId="0" fontId="7" fillId="0" borderId="22" xfId="0" applyFont="1" applyFill="1" applyBorder="1" applyAlignment="1">
      <alignment vertical="top" wrapText="1"/>
    </xf>
    <xf numFmtId="0" fontId="7" fillId="0" borderId="11" xfId="0" applyFont="1" applyFill="1" applyBorder="1" applyAlignment="1">
      <alignment vertical="top" wrapText="1"/>
    </xf>
    <xf numFmtId="0" fontId="6" fillId="0" borderId="11" xfId="0" applyFont="1" applyFill="1" applyBorder="1" applyAlignment="1">
      <alignment vertical="top" wrapText="1"/>
    </xf>
    <xf numFmtId="1" fontId="7" fillId="0" borderId="11" xfId="0" applyNumberFormat="1" applyFont="1" applyFill="1" applyBorder="1" applyAlignment="1">
      <alignment vertical="top" wrapText="1"/>
    </xf>
    <xf numFmtId="0" fontId="11" fillId="0" borderId="12" xfId="0" applyFont="1" applyFill="1" applyBorder="1" applyAlignment="1">
      <alignment horizontal="center" vertical="top" wrapText="1"/>
    </xf>
    <xf numFmtId="0" fontId="7" fillId="0" borderId="10" xfId="0" applyFont="1" applyFill="1" applyBorder="1" applyAlignment="1">
      <alignment horizontal="left" vertical="top" wrapText="1"/>
    </xf>
    <xf numFmtId="0" fontId="7" fillId="0" borderId="15" xfId="0" applyFont="1" applyFill="1" applyBorder="1" applyAlignment="1">
      <alignment vertical="top" wrapText="1"/>
    </xf>
    <xf numFmtId="1" fontId="7" fillId="0" borderId="16" xfId="0" applyNumberFormat="1" applyFont="1" applyFill="1" applyBorder="1" applyAlignment="1">
      <alignment vertical="top" wrapText="1"/>
    </xf>
    <xf numFmtId="0" fontId="11" fillId="0" borderId="19" xfId="0" applyFont="1" applyFill="1" applyBorder="1" applyAlignment="1">
      <alignment horizontal="center" vertical="top" wrapText="1"/>
    </xf>
    <xf numFmtId="0" fontId="7" fillId="0" borderId="20" xfId="0" applyFont="1" applyFill="1" applyBorder="1" applyAlignment="1">
      <alignment vertical="top" wrapText="1"/>
    </xf>
    <xf numFmtId="0" fontId="7" fillId="0" borderId="18" xfId="0" applyFont="1" applyFill="1" applyBorder="1" applyAlignment="1">
      <alignment vertical="top" wrapText="1"/>
    </xf>
    <xf numFmtId="0" fontId="6" fillId="0" borderId="18" xfId="0" applyFont="1" applyFill="1" applyBorder="1" applyAlignment="1">
      <alignment vertical="top" wrapText="1"/>
    </xf>
    <xf numFmtId="1" fontId="7" fillId="0" borderId="18" xfId="0" applyNumberFormat="1" applyFont="1" applyFill="1" applyBorder="1" applyAlignment="1">
      <alignment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vertical="center" wrapText="1"/>
    </xf>
    <xf numFmtId="0" fontId="11" fillId="0" borderId="13" xfId="0" applyFont="1" applyFill="1" applyBorder="1" applyAlignment="1">
      <alignment horizontal="center" vertical="top" wrapText="1"/>
    </xf>
    <xf numFmtId="1" fontId="7" fillId="0" borderId="0" xfId="0" applyNumberFormat="1" applyFont="1" applyFill="1" applyBorder="1" applyAlignment="1">
      <alignment vertical="top" wrapText="1"/>
    </xf>
    <xf numFmtId="2" fontId="11" fillId="0" borderId="0" xfId="0" applyNumberFormat="1" applyFont="1" applyFill="1" applyBorder="1" applyAlignment="1">
      <alignment horizontal="center" vertical="top" wrapText="1"/>
    </xf>
    <xf numFmtId="0" fontId="6" fillId="0" borderId="15" xfId="0" applyFont="1" applyFill="1" applyBorder="1" applyAlignment="1">
      <alignment vertical="top" wrapText="1"/>
    </xf>
    <xf numFmtId="0" fontId="7" fillId="0" borderId="16" xfId="0" applyFont="1" applyFill="1" applyBorder="1" applyAlignment="1">
      <alignment vertical="top" wrapText="1"/>
    </xf>
    <xf numFmtId="1" fontId="7" fillId="0" borderId="17" xfId="0" applyNumberFormat="1" applyFont="1" applyFill="1" applyBorder="1" applyAlignment="1">
      <alignment vertical="top" wrapText="1"/>
    </xf>
    <xf numFmtId="2" fontId="11" fillId="0" borderId="14" xfId="0" applyNumberFormat="1" applyFont="1" applyFill="1" applyBorder="1" applyAlignment="1">
      <alignment vertical="top" wrapText="1"/>
    </xf>
    <xf numFmtId="2" fontId="11" fillId="0" borderId="0" xfId="0" applyNumberFormat="1" applyFont="1" applyFill="1" applyBorder="1" applyAlignment="1">
      <alignment vertical="top" wrapText="1"/>
    </xf>
    <xf numFmtId="2" fontId="5" fillId="0" borderId="0" xfId="0" applyNumberFormat="1" applyFont="1" applyFill="1" applyBorder="1" applyAlignment="1">
      <alignment vertical="top" wrapText="1"/>
    </xf>
    <xf numFmtId="1" fontId="11" fillId="0" borderId="0" xfId="0" applyNumberFormat="1" applyFont="1" applyFill="1" applyBorder="1" applyAlignment="1">
      <alignment vertical="top" wrapText="1"/>
    </xf>
    <xf numFmtId="0" fontId="7" fillId="0" borderId="10" xfId="0" applyFont="1" applyFill="1" applyBorder="1" applyAlignment="1" quotePrefix="1">
      <alignment vertical="top" wrapText="1"/>
    </xf>
    <xf numFmtId="0" fontId="7" fillId="0" borderId="12" xfId="0" applyFont="1" applyFill="1" applyBorder="1" applyAlignment="1" quotePrefix="1">
      <alignment vertical="top" wrapText="1"/>
    </xf>
    <xf numFmtId="0" fontId="7" fillId="0" borderId="12" xfId="0" applyFont="1" applyFill="1" applyBorder="1" applyAlignment="1">
      <alignment vertical="top" wrapText="1"/>
    </xf>
    <xf numFmtId="0" fontId="7" fillId="0" borderId="12" xfId="0" applyFont="1" applyFill="1" applyBorder="1" applyAlignment="1">
      <alignment horizontal="center" vertical="top" wrapText="1"/>
    </xf>
    <xf numFmtId="1" fontId="11" fillId="0" borderId="12" xfId="0" applyNumberFormat="1" applyFont="1" applyFill="1" applyBorder="1" applyAlignment="1">
      <alignment horizontal="center" vertical="top" wrapText="1"/>
    </xf>
    <xf numFmtId="1" fontId="11" fillId="0" borderId="18" xfId="0" applyNumberFormat="1" applyFont="1" applyFill="1" applyBorder="1" applyAlignment="1">
      <alignment horizontal="center" vertical="top" wrapText="1"/>
    </xf>
    <xf numFmtId="0" fontId="7" fillId="0" borderId="15" xfId="0" applyFont="1" applyFill="1" applyBorder="1" applyAlignment="1" quotePrefix="1">
      <alignment vertical="top" wrapText="1"/>
    </xf>
    <xf numFmtId="0" fontId="7" fillId="0" borderId="16" xfId="0" applyFont="1" applyFill="1" applyBorder="1" applyAlignment="1" quotePrefix="1">
      <alignment vertical="top" wrapText="1"/>
    </xf>
    <xf numFmtId="0" fontId="6" fillId="0" borderId="16" xfId="0" applyFont="1" applyFill="1" applyBorder="1" applyAlignment="1" quotePrefix="1">
      <alignment vertical="top" wrapText="1"/>
    </xf>
    <xf numFmtId="1" fontId="7" fillId="0" borderId="16" xfId="0" applyNumberFormat="1" applyFont="1" applyFill="1" applyBorder="1" applyAlignment="1" quotePrefix="1">
      <alignment vertical="top" wrapText="1"/>
    </xf>
    <xf numFmtId="0" fontId="7" fillId="0" borderId="14" xfId="0" applyFont="1" applyFill="1" applyBorder="1" applyAlignment="1" quotePrefix="1">
      <alignment vertical="top" wrapText="1"/>
    </xf>
    <xf numFmtId="0" fontId="7" fillId="0" borderId="0" xfId="0" applyFont="1" applyFill="1" applyBorder="1" applyAlignment="1">
      <alignment horizontal="center" vertical="top" wrapText="1"/>
    </xf>
    <xf numFmtId="1" fontId="11" fillId="0" borderId="0" xfId="0" applyNumberFormat="1" applyFont="1" applyFill="1" applyBorder="1" applyAlignment="1">
      <alignment horizontal="center" vertical="top" wrapText="1"/>
    </xf>
    <xf numFmtId="2" fontId="11" fillId="0" borderId="13" xfId="0" applyNumberFormat="1" applyFont="1" applyFill="1" applyBorder="1" applyAlignment="1">
      <alignment horizontal="center" vertical="top" wrapText="1"/>
    </xf>
    <xf numFmtId="1" fontId="7" fillId="0" borderId="10" xfId="0" applyNumberFormat="1" applyFont="1" applyFill="1" applyBorder="1" applyAlignment="1" quotePrefix="1">
      <alignment vertical="top" wrapText="1"/>
    </xf>
    <xf numFmtId="0" fontId="7" fillId="0" borderId="13" xfId="0" applyFont="1" applyFill="1" applyBorder="1" applyAlignment="1">
      <alignment horizontal="center" vertical="top" wrapText="1"/>
    </xf>
    <xf numFmtId="0" fontId="7" fillId="0" borderId="22" xfId="0" applyFont="1" applyFill="1" applyBorder="1" applyAlignment="1" quotePrefix="1">
      <alignment vertical="top" wrapText="1"/>
    </xf>
    <xf numFmtId="2" fontId="11" fillId="0" borderId="15" xfId="0" applyNumberFormat="1" applyFont="1" applyFill="1" applyBorder="1" applyAlignment="1">
      <alignment vertical="top" wrapText="1"/>
    </xf>
    <xf numFmtId="2" fontId="5" fillId="0" borderId="16" xfId="0" applyNumberFormat="1" applyFont="1" applyFill="1" applyBorder="1" applyAlignment="1">
      <alignment vertical="top" wrapText="1"/>
    </xf>
    <xf numFmtId="2" fontId="11" fillId="0" borderId="16" xfId="0" applyNumberFormat="1" applyFont="1" applyFill="1" applyBorder="1" applyAlignment="1">
      <alignment vertical="top" wrapText="1"/>
    </xf>
    <xf numFmtId="1" fontId="11" fillId="0" borderId="16" xfId="0" applyNumberFormat="1" applyFont="1" applyFill="1" applyBorder="1" applyAlignment="1">
      <alignment vertical="top" wrapText="1"/>
    </xf>
    <xf numFmtId="0" fontId="6" fillId="0" borderId="16" xfId="0" applyFont="1" applyFill="1" applyBorder="1" applyAlignment="1">
      <alignment vertical="top" wrapText="1"/>
    </xf>
    <xf numFmtId="0" fontId="7" fillId="0" borderId="16" xfId="0" applyFont="1" applyFill="1" applyBorder="1" applyAlignment="1">
      <alignment horizontal="center" vertical="top" wrapText="1"/>
    </xf>
    <xf numFmtId="1" fontId="7" fillId="0" borderId="10" xfId="0" applyNumberFormat="1" applyFont="1" applyFill="1" applyBorder="1" applyAlignment="1">
      <alignment horizontal="center" vertical="top" wrapText="1"/>
    </xf>
    <xf numFmtId="0" fontId="11" fillId="0" borderId="16" xfId="0" applyFont="1" applyFill="1" applyBorder="1" applyAlignment="1">
      <alignment vertical="top" wrapText="1"/>
    </xf>
    <xf numFmtId="0" fontId="7" fillId="0" borderId="20" xfId="0" applyFont="1" applyFill="1" applyBorder="1" applyAlignment="1" quotePrefix="1">
      <alignment vertical="top" wrapText="1"/>
    </xf>
    <xf numFmtId="0" fontId="7" fillId="0" borderId="18" xfId="0" applyFont="1" applyFill="1" applyBorder="1" applyAlignment="1" quotePrefix="1">
      <alignment vertical="top" wrapText="1"/>
    </xf>
    <xf numFmtId="0" fontId="6" fillId="0" borderId="18" xfId="0" applyFont="1" applyFill="1" applyBorder="1" applyAlignment="1" quotePrefix="1">
      <alignment vertical="top" wrapText="1"/>
    </xf>
    <xf numFmtId="1" fontId="7" fillId="0" borderId="18" xfId="0" applyNumberFormat="1" applyFont="1" applyFill="1" applyBorder="1" applyAlignment="1" quotePrefix="1">
      <alignment vertical="top" wrapText="1"/>
    </xf>
    <xf numFmtId="0" fontId="56" fillId="0" borderId="10" xfId="0" applyFont="1" applyFill="1" applyBorder="1" applyAlignment="1">
      <alignment horizontal="center" vertical="top" wrapText="1"/>
    </xf>
    <xf numFmtId="0" fontId="56" fillId="0" borderId="22" xfId="0" applyFont="1" applyFill="1" applyBorder="1" applyAlignment="1">
      <alignment vertical="top" wrapText="1"/>
    </xf>
    <xf numFmtId="0" fontId="56" fillId="0" borderId="11" xfId="0" applyFont="1" applyFill="1" applyBorder="1" applyAlignment="1">
      <alignment vertical="top" wrapText="1"/>
    </xf>
    <xf numFmtId="0" fontId="57" fillId="0" borderId="11" xfId="0" applyFont="1" applyFill="1" applyBorder="1" applyAlignment="1">
      <alignment vertical="top" wrapText="1"/>
    </xf>
    <xf numFmtId="1" fontId="56" fillId="0" borderId="11" xfId="0" applyNumberFormat="1" applyFont="1" applyFill="1" applyBorder="1" applyAlignment="1">
      <alignment vertical="top" wrapText="1"/>
    </xf>
    <xf numFmtId="0" fontId="56" fillId="0" borderId="12" xfId="0" applyFont="1" applyFill="1" applyBorder="1" applyAlignment="1">
      <alignment horizontal="center" vertical="top" wrapText="1"/>
    </xf>
    <xf numFmtId="0" fontId="7" fillId="0" borderId="13" xfId="0" applyFont="1" applyFill="1" applyBorder="1" applyAlignment="1">
      <alignment vertical="top" wrapText="1"/>
    </xf>
    <xf numFmtId="1" fontId="11" fillId="0" borderId="13" xfId="0" applyNumberFormat="1" applyFont="1" applyFill="1" applyBorder="1" applyAlignment="1">
      <alignment horizontal="center" vertical="top" wrapText="1"/>
    </xf>
    <xf numFmtId="0" fontId="56" fillId="0" borderId="14" xfId="0" applyFont="1" applyFill="1" applyBorder="1" applyAlignment="1">
      <alignment vertical="top" wrapText="1"/>
    </xf>
    <xf numFmtId="0" fontId="56" fillId="0" borderId="0" xfId="0" applyFont="1" applyFill="1" applyBorder="1" applyAlignment="1">
      <alignment vertical="top" wrapText="1"/>
    </xf>
    <xf numFmtId="0" fontId="57" fillId="0" borderId="0" xfId="0" applyFont="1" applyFill="1" applyBorder="1" applyAlignment="1">
      <alignment vertical="top" wrapText="1"/>
    </xf>
    <xf numFmtId="1" fontId="56" fillId="0" borderId="0" xfId="0" applyNumberFormat="1" applyFont="1" applyFill="1" applyBorder="1" applyAlignment="1">
      <alignment vertical="top" wrapText="1"/>
    </xf>
    <xf numFmtId="0" fontId="11" fillId="0" borderId="10" xfId="0" applyFont="1" applyFill="1" applyBorder="1" applyAlignment="1" quotePrefix="1">
      <alignment horizontal="center" vertical="top" wrapText="1"/>
    </xf>
    <xf numFmtId="0" fontId="7" fillId="0" borderId="19" xfId="0" applyFont="1" applyFill="1" applyBorder="1" applyAlignment="1">
      <alignment vertical="top" wrapText="1"/>
    </xf>
    <xf numFmtId="0" fontId="7" fillId="0" borderId="19" xfId="0" applyFont="1" applyFill="1" applyBorder="1" applyAlignment="1">
      <alignment horizontal="center" vertical="top" wrapText="1"/>
    </xf>
    <xf numFmtId="1" fontId="11" fillId="0" borderId="19" xfId="0" applyNumberFormat="1" applyFont="1" applyFill="1" applyBorder="1" applyAlignment="1">
      <alignment horizontal="center" vertical="top" wrapText="1"/>
    </xf>
    <xf numFmtId="0" fontId="7" fillId="0" borderId="10" xfId="0" applyFont="1" applyFill="1" applyBorder="1" applyAlignment="1" quotePrefix="1">
      <alignment horizontal="center" vertical="top" wrapText="1"/>
    </xf>
    <xf numFmtId="1" fontId="48" fillId="0" borderId="19" xfId="0" applyNumberFormat="1" applyFont="1" applyFill="1" applyBorder="1" applyAlignment="1">
      <alignment horizontal="center" vertical="top" wrapText="1"/>
    </xf>
    <xf numFmtId="0" fontId="56" fillId="0" borderId="15" xfId="0" applyFont="1" applyFill="1" applyBorder="1" applyAlignment="1">
      <alignment vertical="top" wrapText="1"/>
    </xf>
    <xf numFmtId="0" fontId="56" fillId="0" borderId="16" xfId="0" applyFont="1" applyFill="1" applyBorder="1" applyAlignment="1">
      <alignment vertical="top" wrapText="1"/>
    </xf>
    <xf numFmtId="0" fontId="57" fillId="0" borderId="16" xfId="0" applyFont="1" applyFill="1" applyBorder="1" applyAlignment="1">
      <alignment vertical="top" wrapText="1"/>
    </xf>
    <xf numFmtId="1" fontId="56" fillId="0" borderId="16" xfId="0" applyNumberFormat="1" applyFont="1" applyFill="1" applyBorder="1" applyAlignment="1">
      <alignment vertical="top" wrapText="1"/>
    </xf>
    <xf numFmtId="0" fontId="11" fillId="0" borderId="13" xfId="0" applyFont="1" applyFill="1" applyBorder="1" applyAlignment="1">
      <alignment horizontal="left" vertical="top" wrapText="1"/>
    </xf>
    <xf numFmtId="0" fontId="11" fillId="0" borderId="15" xfId="0" applyFont="1" applyFill="1" applyBorder="1" applyAlignment="1">
      <alignment vertical="top" wrapText="1"/>
    </xf>
    <xf numFmtId="0" fontId="11" fillId="0" borderId="22" xfId="0" applyFont="1" applyFill="1" applyBorder="1" applyAlignment="1">
      <alignment vertical="top" wrapText="1"/>
    </xf>
    <xf numFmtId="0" fontId="5" fillId="0" borderId="11" xfId="0" applyFont="1" applyFill="1" applyBorder="1" applyAlignment="1">
      <alignment vertical="top" wrapText="1"/>
    </xf>
    <xf numFmtId="0" fontId="11" fillId="0" borderId="11" xfId="0" applyFont="1" applyFill="1" applyBorder="1" applyAlignment="1">
      <alignment vertical="top" wrapText="1"/>
    </xf>
    <xf numFmtId="1" fontId="11" fillId="0" borderId="11" xfId="0" applyNumberFormat="1" applyFont="1" applyFill="1" applyBorder="1" applyAlignment="1">
      <alignment vertical="top" wrapText="1"/>
    </xf>
    <xf numFmtId="0" fontId="7" fillId="0" borderId="20" xfId="0" applyFont="1" applyFill="1" applyBorder="1" applyAlignment="1">
      <alignment horizontal="center" vertical="top" wrapText="1"/>
    </xf>
    <xf numFmtId="0" fontId="6" fillId="0" borderId="10" xfId="0" applyFont="1" applyFill="1" applyBorder="1" applyAlignment="1">
      <alignment horizontal="center" vertical="top" wrapText="1"/>
    </xf>
    <xf numFmtId="0" fontId="11" fillId="0" borderId="23" xfId="0" applyFont="1" applyFill="1" applyBorder="1" applyAlignment="1" quotePrefix="1">
      <alignment horizontal="center" vertical="top" wrapText="1"/>
    </xf>
    <xf numFmtId="0" fontId="7" fillId="0" borderId="14" xfId="0" applyFont="1" applyFill="1" applyBorder="1" applyAlignment="1">
      <alignment horizontal="center" vertical="top" wrapText="1"/>
    </xf>
    <xf numFmtId="2" fontId="11" fillId="0" borderId="19" xfId="0" applyNumberFormat="1" applyFont="1" applyFill="1" applyBorder="1" applyAlignment="1">
      <alignment horizontal="center" vertical="top" wrapText="1"/>
    </xf>
    <xf numFmtId="0" fontId="6" fillId="0" borderId="10" xfId="0" applyFont="1" applyFill="1" applyBorder="1" applyAlignment="1">
      <alignment vertical="top" wrapText="1"/>
    </xf>
    <xf numFmtId="1" fontId="7" fillId="0" borderId="10" xfId="0" applyNumberFormat="1" applyFont="1" applyFill="1" applyBorder="1" applyAlignment="1">
      <alignment vertical="top" wrapText="1"/>
    </xf>
    <xf numFmtId="2" fontId="11" fillId="0" borderId="12" xfId="0" applyNumberFormat="1" applyFont="1" applyFill="1" applyBorder="1" applyAlignment="1">
      <alignment horizontal="center" vertical="top" wrapText="1"/>
    </xf>
    <xf numFmtId="0" fontId="7" fillId="0" borderId="24" xfId="0" applyFont="1" applyFill="1" applyBorder="1" applyAlignment="1">
      <alignment vertical="top" wrapText="1"/>
    </xf>
    <xf numFmtId="0" fontId="0" fillId="0" borderId="15" xfId="0" applyFill="1" applyBorder="1" applyAlignment="1">
      <alignment/>
    </xf>
    <xf numFmtId="1" fontId="11" fillId="0" borderId="16" xfId="0" applyNumberFormat="1" applyFont="1" applyFill="1" applyBorder="1" applyAlignment="1">
      <alignment horizontal="center" vertical="top" wrapText="1"/>
    </xf>
    <xf numFmtId="0" fontId="7" fillId="0" borderId="10" xfId="0" applyNumberFormat="1" applyFont="1" applyFill="1" applyBorder="1" applyAlignment="1">
      <alignment vertical="top" wrapText="1"/>
    </xf>
    <xf numFmtId="0" fontId="7" fillId="0" borderId="0" xfId="0" applyNumberFormat="1" applyFont="1" applyFill="1" applyBorder="1" applyAlignment="1">
      <alignment vertical="top" wrapText="1"/>
    </xf>
    <xf numFmtId="0" fontId="5" fillId="0" borderId="0" xfId="0" applyFont="1" applyFill="1" applyAlignment="1">
      <alignment vertical="top" wrapText="1"/>
    </xf>
    <xf numFmtId="0" fontId="56" fillId="0" borderId="0" xfId="0" applyFont="1" applyFill="1" applyBorder="1" applyAlignment="1">
      <alignment horizontal="center" vertical="top" wrapText="1"/>
    </xf>
    <xf numFmtId="0" fontId="5" fillId="0" borderId="0" xfId="0" applyFont="1" applyFill="1" applyBorder="1" applyAlignment="1">
      <alignment vertical="top" wrapText="1"/>
    </xf>
    <xf numFmtId="0" fontId="11" fillId="0" borderId="10" xfId="0" applyFont="1" applyFill="1" applyBorder="1" applyAlignment="1">
      <alignment horizontal="left" vertical="top" wrapText="1"/>
    </xf>
    <xf numFmtId="0" fontId="11" fillId="0" borderId="10" xfId="0" applyFont="1" applyFill="1" applyBorder="1" applyAlignment="1">
      <alignment vertical="top" wrapText="1"/>
    </xf>
    <xf numFmtId="0" fontId="65" fillId="0" borderId="12" xfId="0" applyFont="1" applyFill="1" applyBorder="1" applyAlignment="1">
      <alignment horizontal="center" vertical="top" wrapText="1"/>
    </xf>
    <xf numFmtId="2" fontId="5" fillId="0" borderId="15" xfId="0" applyNumberFormat="1" applyFont="1" applyFill="1" applyBorder="1" applyAlignment="1">
      <alignment vertical="top" wrapText="1"/>
    </xf>
    <xf numFmtId="2" fontId="11" fillId="0" borderId="22" xfId="0" applyNumberFormat="1" applyFont="1" applyFill="1" applyBorder="1" applyAlignment="1">
      <alignment vertical="top" wrapText="1"/>
    </xf>
    <xf numFmtId="2" fontId="11" fillId="0" borderId="11" xfId="0" applyNumberFormat="1" applyFont="1" applyFill="1" applyBorder="1" applyAlignment="1">
      <alignment vertical="top" wrapText="1"/>
    </xf>
    <xf numFmtId="2" fontId="5" fillId="0" borderId="11" xfId="0" applyNumberFormat="1" applyFont="1" applyFill="1" applyBorder="1" applyAlignment="1">
      <alignment vertical="top" wrapText="1"/>
    </xf>
    <xf numFmtId="0" fontId="11" fillId="0" borderId="13" xfId="0" applyFont="1" applyFill="1" applyBorder="1" applyAlignment="1">
      <alignment vertical="top" wrapText="1"/>
    </xf>
    <xf numFmtId="0" fontId="6" fillId="0" borderId="14" xfId="0" applyFont="1" applyFill="1" applyBorder="1" applyAlignment="1">
      <alignment vertical="top" wrapText="1"/>
    </xf>
    <xf numFmtId="1" fontId="48" fillId="0" borderId="10" xfId="0" applyNumberFormat="1" applyFont="1" applyFill="1" applyBorder="1" applyAlignment="1">
      <alignment horizontal="center" vertical="top" wrapText="1"/>
    </xf>
    <xf numFmtId="0" fontId="0" fillId="0" borderId="14" xfId="0" applyFill="1" applyBorder="1" applyAlignment="1">
      <alignment vertical="top" wrapText="1"/>
    </xf>
    <xf numFmtId="1" fontId="7" fillId="0" borderId="0" xfId="0" applyNumberFormat="1" applyFont="1" applyFill="1" applyBorder="1" applyAlignment="1">
      <alignment vertical="top" wrapText="1"/>
    </xf>
    <xf numFmtId="0" fontId="56" fillId="0" borderId="12" xfId="0" applyFont="1" applyFill="1" applyBorder="1" applyAlignment="1">
      <alignment vertical="top" wrapText="1"/>
    </xf>
    <xf numFmtId="0" fontId="5" fillId="0" borderId="15" xfId="0" applyFont="1" applyFill="1" applyBorder="1" applyAlignment="1">
      <alignment vertical="top" wrapText="1"/>
    </xf>
    <xf numFmtId="0" fontId="56" fillId="0" borderId="10" xfId="0" applyFont="1" applyFill="1" applyBorder="1" applyAlignment="1">
      <alignment vertical="top" wrapText="1"/>
    </xf>
    <xf numFmtId="0" fontId="43" fillId="0" borderId="16" xfId="0" applyFont="1" applyFill="1" applyBorder="1" applyAlignment="1">
      <alignment vertical="top" wrapText="1"/>
    </xf>
    <xf numFmtId="1" fontId="56" fillId="0" borderId="16" xfId="0" applyNumberFormat="1" applyFont="1" applyFill="1" applyBorder="1" applyAlignment="1">
      <alignment vertical="top" wrapText="1"/>
    </xf>
    <xf numFmtId="2" fontId="5" fillId="0" borderId="14" xfId="0" applyNumberFormat="1" applyFont="1" applyFill="1" applyBorder="1" applyAlignment="1">
      <alignment vertical="top" wrapText="1"/>
    </xf>
    <xf numFmtId="0" fontId="7" fillId="0" borderId="17" xfId="0" applyFont="1" applyFill="1" applyBorder="1" applyAlignment="1">
      <alignment vertical="center" wrapText="1"/>
    </xf>
    <xf numFmtId="1" fontId="11" fillId="0" borderId="10" xfId="0" applyNumberFormat="1" applyFont="1" applyFill="1" applyBorder="1" applyAlignment="1">
      <alignment horizontal="center" vertical="center" wrapText="1"/>
    </xf>
    <xf numFmtId="2" fontId="11" fillId="0" borderId="10" xfId="0" applyNumberFormat="1" applyFont="1" applyFill="1" applyBorder="1" applyAlignment="1">
      <alignment horizontal="center" vertical="center" wrapText="1"/>
    </xf>
    <xf numFmtId="0" fontId="0" fillId="0" borderId="15" xfId="0" applyFill="1" applyBorder="1" applyAlignment="1">
      <alignment vertical="top" wrapText="1"/>
    </xf>
    <xf numFmtId="1" fontId="7" fillId="0" borderId="16" xfId="0" applyNumberFormat="1" applyFont="1" applyFill="1" applyBorder="1" applyAlignment="1">
      <alignment vertical="top" wrapText="1"/>
    </xf>
    <xf numFmtId="0" fontId="7" fillId="0" borderId="13" xfId="0" applyFont="1" applyFill="1" applyBorder="1" applyAlignment="1">
      <alignment horizontal="center" vertical="center" wrapText="1"/>
    </xf>
    <xf numFmtId="1" fontId="11" fillId="0" borderId="13" xfId="0" applyNumberFormat="1" applyFont="1" applyFill="1" applyBorder="1" applyAlignment="1">
      <alignment horizontal="center" vertical="center" wrapText="1"/>
    </xf>
    <xf numFmtId="0" fontId="11" fillId="0" borderId="12" xfId="0" applyFont="1" applyFill="1" applyBorder="1" applyAlignment="1">
      <alignment vertical="top" wrapText="1"/>
    </xf>
    <xf numFmtId="0" fontId="11" fillId="0" borderId="22" xfId="0" applyFont="1" applyFill="1" applyBorder="1" applyAlignment="1">
      <alignment horizontal="center" vertical="top" wrapText="1"/>
    </xf>
    <xf numFmtId="0" fontId="7" fillId="0" borderId="18" xfId="0" applyFont="1" applyFill="1" applyBorder="1" applyAlignment="1">
      <alignment horizontal="center" vertical="top" wrapText="1"/>
    </xf>
    <xf numFmtId="0" fontId="11" fillId="0" borderId="18" xfId="0" applyFont="1" applyFill="1" applyBorder="1" applyAlignment="1">
      <alignment vertical="top" wrapText="1"/>
    </xf>
    <xf numFmtId="2" fontId="5" fillId="0" borderId="10" xfId="0" applyNumberFormat="1" applyFont="1" applyFill="1" applyBorder="1" applyAlignment="1">
      <alignment horizontal="center" vertical="top" wrapText="1"/>
    </xf>
    <xf numFmtId="0" fontId="2" fillId="0" borderId="0" xfId="0" applyFont="1" applyFill="1" applyBorder="1" applyAlignment="1">
      <alignment horizontal="center" vertical="top" wrapText="1"/>
    </xf>
    <xf numFmtId="1" fontId="5" fillId="0" borderId="0" xfId="0" applyNumberFormat="1" applyFont="1" applyFill="1" applyBorder="1" applyAlignment="1">
      <alignment horizontal="center" vertical="top" wrapText="1"/>
    </xf>
    <xf numFmtId="2" fontId="5" fillId="0" borderId="0" xfId="0" applyNumberFormat="1" applyFont="1" applyFill="1" applyBorder="1" applyAlignment="1">
      <alignment horizontal="center" vertical="top" wrapText="1"/>
    </xf>
    <xf numFmtId="0" fontId="7" fillId="0" borderId="0" xfId="0" applyFont="1" applyFill="1" applyAlignment="1">
      <alignment vertical="top" wrapText="1"/>
    </xf>
    <xf numFmtId="193" fontId="27" fillId="0" borderId="0" xfId="0" applyNumberFormat="1" applyFont="1" applyFill="1" applyAlignment="1">
      <alignment horizontal="center" vertical="top" wrapText="1"/>
    </xf>
    <xf numFmtId="0" fontId="0" fillId="0" borderId="10" xfId="0" applyFill="1" applyBorder="1" applyAlignment="1">
      <alignment/>
    </xf>
    <xf numFmtId="199" fontId="45" fillId="0" borderId="10" xfId="0" applyNumberFormat="1" applyFont="1" applyFill="1" applyBorder="1" applyAlignment="1">
      <alignment horizontal="center" vertical="top"/>
    </xf>
    <xf numFmtId="0" fontId="11" fillId="0" borderId="0" xfId="0" applyFont="1" applyFill="1" applyAlignment="1">
      <alignment horizontal="center" vertical="center"/>
    </xf>
    <xf numFmtId="199" fontId="45" fillId="0" borderId="10" xfId="0" applyNumberFormat="1" applyFont="1" applyFill="1" applyBorder="1" applyAlignment="1">
      <alignment horizontal="center" vertical="center"/>
    </xf>
    <xf numFmtId="2" fontId="54" fillId="0" borderId="10" xfId="0" applyNumberFormat="1" applyFont="1" applyFill="1" applyBorder="1" applyAlignment="1">
      <alignment horizontal="center" vertical="top"/>
    </xf>
    <xf numFmtId="2" fontId="35" fillId="0" borderId="0" xfId="0" applyNumberFormat="1" applyFont="1" applyFill="1" applyBorder="1" applyAlignment="1">
      <alignment horizontal="center" vertical="top" wrapText="1"/>
    </xf>
    <xf numFmtId="0" fontId="2" fillId="0" borderId="0" xfId="0" applyFont="1" applyFill="1" applyAlignment="1">
      <alignment vertical="center"/>
    </xf>
    <xf numFmtId="0" fontId="2" fillId="0" borderId="0" xfId="0" applyFont="1" applyFill="1" applyAlignment="1">
      <alignment/>
    </xf>
    <xf numFmtId="0" fontId="0" fillId="0" borderId="10" xfId="0" applyFill="1" applyBorder="1" applyAlignment="1">
      <alignment vertical="top"/>
    </xf>
    <xf numFmtId="49" fontId="6" fillId="0" borderId="12" xfId="0" applyNumberFormat="1" applyFont="1" applyFill="1" applyBorder="1" applyAlignment="1">
      <alignment horizontal="center" vertical="center" wrapText="1"/>
    </xf>
    <xf numFmtId="1" fontId="6" fillId="0" borderId="12" xfId="0" applyNumberFormat="1" applyFont="1" applyFill="1" applyBorder="1" applyAlignment="1">
      <alignment horizontal="center" vertical="center" wrapText="1"/>
    </xf>
    <xf numFmtId="2" fontId="6" fillId="0" borderId="12" xfId="0" applyNumberFormat="1" applyFont="1" applyFill="1" applyBorder="1" applyAlignment="1">
      <alignment horizontal="center" vertical="center" wrapText="1"/>
    </xf>
    <xf numFmtId="2" fontId="10" fillId="0" borderId="12" xfId="0" applyNumberFormat="1" applyFont="1" applyFill="1" applyBorder="1" applyAlignment="1">
      <alignment horizontal="center" vertical="center" wrapText="1"/>
    </xf>
    <xf numFmtId="1" fontId="6" fillId="0" borderId="16" xfId="0" applyNumberFormat="1" applyFont="1" applyFill="1" applyBorder="1" applyAlignment="1">
      <alignment horizontal="center" vertical="center" wrapText="1"/>
    </xf>
    <xf numFmtId="2" fontId="6" fillId="0" borderId="16" xfId="0" applyNumberFormat="1" applyFont="1" applyFill="1" applyBorder="1" applyAlignment="1">
      <alignment horizontal="center" vertical="center" wrapText="1"/>
    </xf>
    <xf numFmtId="2" fontId="6" fillId="0" borderId="17" xfId="0" applyNumberFormat="1" applyFont="1" applyFill="1" applyBorder="1" applyAlignment="1">
      <alignment horizontal="center" vertical="center" wrapText="1"/>
    </xf>
    <xf numFmtId="1" fontId="6" fillId="0" borderId="13" xfId="0" applyNumberFormat="1" applyFont="1" applyFill="1" applyBorder="1" applyAlignment="1">
      <alignment horizontal="center" vertical="center" wrapText="1"/>
    </xf>
    <xf numFmtId="196" fontId="6" fillId="0" borderId="10" xfId="0" applyNumberFormat="1" applyFont="1" applyFill="1" applyBorder="1" applyAlignment="1">
      <alignment horizontal="center" vertical="center" wrapText="1"/>
    </xf>
    <xf numFmtId="49" fontId="6" fillId="0" borderId="13" xfId="0" applyNumberFormat="1" applyFont="1" applyFill="1" applyBorder="1" applyAlignment="1">
      <alignment vertical="center" wrapText="1"/>
    </xf>
    <xf numFmtId="196" fontId="6" fillId="0" borderId="13" xfId="0" applyNumberFormat="1" applyFont="1" applyFill="1" applyBorder="1" applyAlignment="1">
      <alignment horizontal="center" vertical="center" wrapText="1"/>
    </xf>
    <xf numFmtId="0" fontId="5" fillId="0" borderId="10" xfId="0" applyNumberFormat="1" applyFont="1" applyFill="1" applyBorder="1" applyAlignment="1">
      <alignment vertical="center" wrapText="1"/>
    </xf>
    <xf numFmtId="49" fontId="5" fillId="0" borderId="10" xfId="0" applyNumberFormat="1" applyFont="1" applyFill="1" applyBorder="1" applyAlignment="1" quotePrefix="1">
      <alignment horizontal="center" vertical="center" wrapText="1"/>
    </xf>
    <xf numFmtId="49" fontId="5" fillId="0" borderId="10" xfId="0" applyNumberFormat="1" applyFont="1" applyFill="1" applyBorder="1" applyAlignment="1">
      <alignment vertical="center" wrapText="1"/>
    </xf>
    <xf numFmtId="0" fontId="6" fillId="0" borderId="10" xfId="0" applyFont="1" applyFill="1" applyBorder="1" applyAlignment="1" applyProtection="1">
      <alignment vertical="center" wrapText="1"/>
      <protection/>
    </xf>
    <xf numFmtId="4" fontId="6" fillId="0" borderId="10" xfId="0" applyNumberFormat="1" applyFont="1" applyFill="1" applyBorder="1" applyAlignment="1" applyProtection="1">
      <alignment horizontal="center" vertical="center"/>
      <protection/>
    </xf>
    <xf numFmtId="0" fontId="6" fillId="0" borderId="10" xfId="0" applyFont="1" applyFill="1" applyBorder="1" applyAlignment="1" applyProtection="1">
      <alignment horizontal="left" vertical="center" wrapText="1"/>
      <protection/>
    </xf>
    <xf numFmtId="0" fontId="6" fillId="0" borderId="10" xfId="0" applyFont="1" applyFill="1" applyBorder="1" applyAlignment="1">
      <alignment horizontal="center" vertical="center"/>
    </xf>
    <xf numFmtId="0" fontId="6" fillId="0" borderId="10" xfId="0" applyFont="1" applyFill="1" applyBorder="1" applyAlignment="1" applyProtection="1">
      <alignment horizontal="left" vertical="center"/>
      <protection/>
    </xf>
    <xf numFmtId="1" fontId="6" fillId="0" borderId="16" xfId="0" applyNumberFormat="1" applyFont="1" applyFill="1" applyBorder="1" applyAlignment="1" applyProtection="1">
      <alignment vertical="center"/>
      <protection/>
    </xf>
    <xf numFmtId="1" fontId="6" fillId="0" borderId="10" xfId="0" applyNumberFormat="1" applyFont="1" applyFill="1" applyBorder="1" applyAlignment="1" applyProtection="1">
      <alignment vertical="center"/>
      <protection/>
    </xf>
    <xf numFmtId="0" fontId="5" fillId="0" borderId="10" xfId="0" applyFont="1" applyFill="1" applyBorder="1" applyAlignment="1" applyProtection="1">
      <alignment horizontal="center" vertical="center"/>
      <protection/>
    </xf>
    <xf numFmtId="0" fontId="5" fillId="0" borderId="10" xfId="0" applyFont="1" applyFill="1" applyBorder="1" applyAlignment="1" applyProtection="1">
      <alignment horizontal="left" vertical="center"/>
      <protection/>
    </xf>
    <xf numFmtId="0" fontId="6" fillId="0" borderId="15" xfId="0" applyFont="1" applyFill="1" applyBorder="1" applyAlignment="1" applyProtection="1">
      <alignment vertical="center"/>
      <protection/>
    </xf>
    <xf numFmtId="0" fontId="6" fillId="0" borderId="16" xfId="0" applyFont="1" applyFill="1" applyBorder="1" applyAlignment="1" applyProtection="1">
      <alignment horizontal="center" vertical="center"/>
      <protection/>
    </xf>
    <xf numFmtId="2" fontId="6" fillId="0" borderId="15" xfId="0" applyNumberFormat="1" applyFont="1" applyFill="1" applyBorder="1" applyAlignment="1" applyProtection="1">
      <alignment horizontal="center" vertical="center"/>
      <protection/>
    </xf>
    <xf numFmtId="2" fontId="6" fillId="0" borderId="10" xfId="0" applyNumberFormat="1" applyFont="1" applyFill="1" applyBorder="1" applyAlignment="1" applyProtection="1">
      <alignment horizontal="center" vertical="center"/>
      <protection/>
    </xf>
    <xf numFmtId="0" fontId="0" fillId="0" borderId="10" xfId="0" applyFont="1" applyFill="1" applyBorder="1" applyAlignment="1" applyProtection="1">
      <alignment horizontal="left"/>
      <protection/>
    </xf>
    <xf numFmtId="0" fontId="0" fillId="0" borderId="10" xfId="0" applyFont="1" applyFill="1" applyBorder="1" applyAlignment="1">
      <alignment/>
    </xf>
    <xf numFmtId="2" fontId="5" fillId="0" borderId="15" xfId="0" applyNumberFormat="1" applyFont="1" applyFill="1" applyBorder="1" applyAlignment="1">
      <alignment horizontal="center" vertical="center"/>
    </xf>
    <xf numFmtId="2" fontId="5" fillId="0" borderId="10" xfId="0" applyNumberFormat="1" applyFont="1" applyFill="1" applyBorder="1" applyAlignment="1">
      <alignment horizontal="center" vertical="center"/>
    </xf>
    <xf numFmtId="0" fontId="6" fillId="0" borderId="13" xfId="0" applyFont="1" applyFill="1" applyBorder="1" applyAlignment="1">
      <alignment vertical="center" wrapText="1"/>
    </xf>
    <xf numFmtId="0" fontId="6" fillId="0" borderId="13" xfId="0" applyFont="1" applyFill="1" applyBorder="1" applyAlignment="1">
      <alignment horizontal="left" vertical="center" wrapText="1"/>
    </xf>
    <xf numFmtId="0" fontId="6" fillId="0" borderId="0" xfId="0" applyFont="1" applyFill="1" applyAlignment="1">
      <alignment horizontal="left" vertical="center" wrapText="1"/>
    </xf>
    <xf numFmtId="0" fontId="5" fillId="0" borderId="12" xfId="0" applyFont="1" applyFill="1" applyBorder="1" applyAlignment="1">
      <alignment horizontal="left" vertical="center" wrapText="1"/>
    </xf>
    <xf numFmtId="0" fontId="5" fillId="0" borderId="12" xfId="0" applyNumberFormat="1" applyFont="1" applyFill="1" applyBorder="1" applyAlignment="1">
      <alignment vertical="center" wrapText="1"/>
    </xf>
    <xf numFmtId="0" fontId="5" fillId="0" borderId="12" xfId="0" applyFont="1" applyFill="1" applyBorder="1" applyAlignment="1">
      <alignment vertical="center" wrapText="1"/>
    </xf>
    <xf numFmtId="2" fontId="5" fillId="0" borderId="12" xfId="0" applyNumberFormat="1" applyFont="1" applyFill="1" applyBorder="1" applyAlignment="1">
      <alignment horizontal="center" vertical="center" wrapText="1"/>
    </xf>
    <xf numFmtId="0" fontId="5" fillId="0" borderId="24" xfId="0" applyFont="1" applyFill="1" applyBorder="1" applyAlignment="1">
      <alignment horizontal="center" vertical="center" wrapText="1"/>
    </xf>
    <xf numFmtId="2" fontId="5" fillId="0" borderId="20" xfId="0" applyNumberFormat="1" applyFont="1" applyFill="1" applyBorder="1" applyAlignment="1">
      <alignment horizontal="center" vertical="center" wrapText="1"/>
    </xf>
    <xf numFmtId="0" fontId="5" fillId="0" borderId="15" xfId="0" applyNumberFormat="1" applyFont="1" applyFill="1" applyBorder="1" applyAlignment="1">
      <alignment vertical="center" wrapText="1"/>
    </xf>
    <xf numFmtId="0" fontId="5" fillId="0" borderId="16" xfId="0" applyNumberFormat="1" applyFont="1" applyFill="1" applyBorder="1" applyAlignment="1">
      <alignment vertical="center" wrapText="1"/>
    </xf>
    <xf numFmtId="0" fontId="6" fillId="0" borderId="12" xfId="0" applyFont="1" applyFill="1" applyBorder="1" applyAlignment="1">
      <alignment horizontal="left" vertical="center" wrapText="1"/>
    </xf>
    <xf numFmtId="0" fontId="6" fillId="0" borderId="12" xfId="0" applyNumberFormat="1" applyFont="1" applyFill="1" applyBorder="1" applyAlignment="1">
      <alignment vertical="center" wrapText="1"/>
    </xf>
    <xf numFmtId="0" fontId="6" fillId="0" borderId="12" xfId="0" applyFont="1" applyFill="1" applyBorder="1" applyAlignment="1">
      <alignment vertical="center" wrapText="1"/>
    </xf>
    <xf numFmtId="0" fontId="5" fillId="0" borderId="10" xfId="0" applyFont="1" applyFill="1" applyBorder="1" applyAlignment="1">
      <alignment vertical="center" wrapText="1"/>
    </xf>
    <xf numFmtId="196" fontId="10" fillId="0" borderId="10" xfId="0" applyNumberFormat="1" applyFont="1" applyFill="1" applyBorder="1" applyAlignment="1">
      <alignment horizontal="center" vertical="center" wrapText="1"/>
    </xf>
    <xf numFmtId="49" fontId="0" fillId="0" borderId="10" xfId="0" applyNumberFormat="1" applyFont="1" applyFill="1" applyBorder="1" applyAlignment="1">
      <alignment wrapText="1"/>
    </xf>
    <xf numFmtId="2" fontId="44" fillId="0" borderId="10" xfId="0" applyNumberFormat="1" applyFont="1" applyFill="1" applyBorder="1" applyAlignment="1">
      <alignment horizontal="center" vertical="center" wrapText="1"/>
    </xf>
    <xf numFmtId="2" fontId="31" fillId="0" borderId="10" xfId="0" applyNumberFormat="1" applyFont="1" applyFill="1" applyBorder="1" applyAlignment="1">
      <alignment horizontal="center" vertical="center" wrapText="1"/>
    </xf>
    <xf numFmtId="2" fontId="63"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top" wrapText="1"/>
    </xf>
    <xf numFmtId="0" fontId="6" fillId="0" borderId="15" xfId="0" applyNumberFormat="1" applyFont="1" applyFill="1" applyBorder="1" applyAlignment="1">
      <alignment vertical="top" wrapText="1"/>
    </xf>
    <xf numFmtId="0" fontId="6" fillId="0" borderId="16" xfId="0" applyNumberFormat="1" applyFont="1" applyFill="1" applyBorder="1" applyAlignment="1">
      <alignment vertical="top" wrapText="1"/>
    </xf>
    <xf numFmtId="2" fontId="6" fillId="0" borderId="10" xfId="0" applyNumberFormat="1" applyFont="1" applyFill="1" applyBorder="1" applyAlignment="1">
      <alignment horizontal="center" vertical="top" wrapText="1"/>
    </xf>
    <xf numFmtId="2" fontId="6" fillId="0" borderId="16" xfId="0" applyNumberFormat="1" applyFont="1" applyFill="1" applyBorder="1" applyAlignment="1">
      <alignment horizontal="center" vertical="top" wrapText="1"/>
    </xf>
    <xf numFmtId="49" fontId="6" fillId="0" borderId="10" xfId="0" applyNumberFormat="1" applyFont="1" applyFill="1" applyBorder="1" applyAlignment="1" quotePrefix="1">
      <alignment horizontal="center" vertical="top" wrapText="1"/>
    </xf>
    <xf numFmtId="2" fontId="6" fillId="0" borderId="10" xfId="0" applyNumberFormat="1" applyFont="1" applyFill="1" applyBorder="1" applyAlignment="1" quotePrefix="1">
      <alignment horizontal="center" vertical="center" wrapText="1"/>
    </xf>
    <xf numFmtId="49" fontId="5" fillId="0" borderId="10" xfId="0" applyNumberFormat="1" applyFont="1" applyFill="1" applyBorder="1" applyAlignment="1">
      <alignment horizontal="center" vertical="top" wrapText="1"/>
    </xf>
    <xf numFmtId="0" fontId="17" fillId="0" borderId="10" xfId="0" applyFont="1" applyFill="1" applyBorder="1" applyAlignment="1">
      <alignment vertical="center" wrapText="1"/>
    </xf>
    <xf numFmtId="0" fontId="17" fillId="0" borderId="10" xfId="0" applyFont="1" applyFill="1" applyBorder="1" applyAlignment="1">
      <alignment horizontal="center" vertical="center"/>
    </xf>
    <xf numFmtId="2" fontId="17" fillId="0" borderId="10" xfId="0" applyNumberFormat="1" applyFont="1" applyFill="1" applyBorder="1" applyAlignment="1">
      <alignment horizontal="center" vertical="center"/>
    </xf>
    <xf numFmtId="49" fontId="17" fillId="0" borderId="10" xfId="0" applyNumberFormat="1" applyFont="1" applyFill="1" applyBorder="1" applyAlignment="1">
      <alignment vertical="top" wrapText="1"/>
    </xf>
    <xf numFmtId="49" fontId="17" fillId="0" borderId="10" xfId="0" applyNumberFormat="1" applyFont="1" applyFill="1" applyBorder="1" applyAlignment="1">
      <alignment horizontal="center" vertical="top" wrapText="1"/>
    </xf>
    <xf numFmtId="2" fontId="17" fillId="0" borderId="10" xfId="0" applyNumberFormat="1" applyFont="1" applyFill="1" applyBorder="1" applyAlignment="1">
      <alignment horizontal="center" vertical="top" wrapText="1"/>
    </xf>
    <xf numFmtId="2" fontId="17" fillId="0" borderId="10" xfId="0" applyNumberFormat="1" applyFont="1" applyFill="1" applyBorder="1" applyAlignment="1">
      <alignment horizontal="center" vertical="top"/>
    </xf>
    <xf numFmtId="0" fontId="17" fillId="0" borderId="15" xfId="0" applyFont="1" applyFill="1" applyBorder="1" applyAlignment="1">
      <alignment vertical="center" wrapText="1"/>
    </xf>
    <xf numFmtId="0" fontId="17" fillId="0" borderId="16" xfId="0" applyFont="1" applyFill="1" applyBorder="1" applyAlignment="1">
      <alignment vertical="center" wrapText="1"/>
    </xf>
    <xf numFmtId="0" fontId="17" fillId="0" borderId="17" xfId="0" applyFont="1" applyFill="1" applyBorder="1" applyAlignment="1">
      <alignment vertical="center" wrapText="1"/>
    </xf>
    <xf numFmtId="0" fontId="2" fillId="0" borderId="10" xfId="0" applyFont="1" applyFill="1" applyBorder="1" applyAlignment="1">
      <alignment horizontal="center" vertical="top"/>
    </xf>
    <xf numFmtId="0" fontId="2" fillId="0" borderId="10" xfId="0" applyNumberFormat="1" applyFont="1" applyFill="1" applyBorder="1" applyAlignment="1">
      <alignment vertical="center" wrapText="1"/>
    </xf>
    <xf numFmtId="0" fontId="15" fillId="0" borderId="10" xfId="0" applyFont="1" applyFill="1" applyBorder="1" applyAlignment="1">
      <alignment horizontal="center" vertical="center"/>
    </xf>
    <xf numFmtId="2" fontId="2" fillId="0" borderId="10" xfId="0" applyNumberFormat="1" applyFont="1" applyFill="1" applyBorder="1" applyAlignment="1">
      <alignment horizontal="center" vertical="center"/>
    </xf>
    <xf numFmtId="0" fontId="5" fillId="0" borderId="15" xfId="66" applyFont="1" applyFill="1" applyBorder="1" applyAlignment="1">
      <alignment vertical="top" wrapText="1"/>
      <protection/>
    </xf>
    <xf numFmtId="0" fontId="5" fillId="0" borderId="16" xfId="66" applyFont="1" applyFill="1" applyBorder="1" applyAlignment="1">
      <alignment vertical="top" wrapText="1"/>
      <protection/>
    </xf>
    <xf numFmtId="0" fontId="17" fillId="0" borderId="10" xfId="66" applyFont="1" applyFill="1" applyBorder="1" applyAlignment="1">
      <alignment horizontal="center" vertical="top" wrapText="1"/>
      <protection/>
    </xf>
    <xf numFmtId="2" fontId="17" fillId="0" borderId="17" xfId="66" applyNumberFormat="1" applyFont="1" applyFill="1" applyBorder="1" applyAlignment="1">
      <alignment horizontal="center" vertical="top" wrapText="1"/>
      <protection/>
    </xf>
    <xf numFmtId="0" fontId="17" fillId="0" borderId="10" xfId="66" applyFont="1" applyFill="1" applyBorder="1" applyAlignment="1">
      <alignment horizontal="left" vertical="center" wrapText="1"/>
      <protection/>
    </xf>
    <xf numFmtId="0" fontId="6" fillId="0" borderId="10" xfId="66" applyFont="1" applyFill="1" applyBorder="1" applyAlignment="1">
      <alignment horizontal="left" vertical="center" wrapText="1"/>
      <protection/>
    </xf>
    <xf numFmtId="0" fontId="6" fillId="0" borderId="10" xfId="66" applyFont="1" applyFill="1" applyBorder="1" applyAlignment="1">
      <alignment horizontal="center" vertical="center" wrapText="1"/>
      <protection/>
    </xf>
    <xf numFmtId="0" fontId="5" fillId="0" borderId="10" xfId="66" applyFont="1" applyFill="1" applyBorder="1" applyAlignment="1">
      <alignment vertical="center" wrapText="1"/>
      <protection/>
    </xf>
    <xf numFmtId="2" fontId="17" fillId="0" borderId="10" xfId="66" applyNumberFormat="1" applyFont="1" applyFill="1" applyBorder="1" applyAlignment="1">
      <alignment horizontal="center" vertical="center" wrapText="1"/>
      <protection/>
    </xf>
    <xf numFmtId="0" fontId="17" fillId="0" borderId="10" xfId="66" applyFont="1" applyFill="1" applyBorder="1" applyAlignment="1">
      <alignment horizontal="left" vertical="top" wrapText="1"/>
      <protection/>
    </xf>
    <xf numFmtId="0" fontId="6" fillId="0" borderId="10" xfId="66" applyFont="1" applyFill="1" applyBorder="1" applyAlignment="1">
      <alignment horizontal="left" vertical="top" wrapText="1"/>
      <protection/>
    </xf>
    <xf numFmtId="0" fontId="6" fillId="0" borderId="10" xfId="66" applyFont="1" applyFill="1" applyBorder="1" applyAlignment="1">
      <alignment horizontal="center" vertical="top" wrapText="1"/>
      <protection/>
    </xf>
    <xf numFmtId="0" fontId="17" fillId="0" borderId="10" xfId="0" applyFont="1" applyFill="1" applyBorder="1" applyAlignment="1">
      <alignment wrapText="1"/>
    </xf>
    <xf numFmtId="2" fontId="17" fillId="0" borderId="10" xfId="0" applyNumberFormat="1" applyFont="1" applyFill="1" applyBorder="1" applyAlignment="1">
      <alignment horizontal="center"/>
    </xf>
    <xf numFmtId="0" fontId="2" fillId="0" borderId="10" xfId="0" applyFont="1" applyFill="1" applyBorder="1" applyAlignment="1">
      <alignment wrapText="1"/>
    </xf>
    <xf numFmtId="1" fontId="17" fillId="0" borderId="10" xfId="0" applyNumberFormat="1" applyFont="1" applyFill="1" applyBorder="1" applyAlignment="1">
      <alignment horizontal="center"/>
    </xf>
    <xf numFmtId="0" fontId="18" fillId="0" borderId="10" xfId="66" applyFont="1" applyFill="1" applyBorder="1" applyAlignment="1">
      <alignment horizontal="left" vertical="top" wrapText="1"/>
      <protection/>
    </xf>
    <xf numFmtId="0" fontId="6" fillId="0" borderId="10" xfId="0" applyFont="1" applyFill="1" applyBorder="1" applyAlignment="1">
      <alignment/>
    </xf>
    <xf numFmtId="2" fontId="5" fillId="0" borderId="10" xfId="0" applyNumberFormat="1" applyFont="1" applyFill="1" applyBorder="1" applyAlignment="1">
      <alignment horizontal="center"/>
    </xf>
    <xf numFmtId="0" fontId="17" fillId="0" borderId="10" xfId="61" applyNumberFormat="1" applyFont="1" applyFill="1" applyBorder="1" applyAlignment="1">
      <alignment horizontal="center" vertical="top" wrapText="1"/>
      <protection/>
    </xf>
    <xf numFmtId="49" fontId="17" fillId="0" borderId="10" xfId="61" applyNumberFormat="1" applyFont="1" applyFill="1" applyBorder="1" applyAlignment="1">
      <alignment horizontal="center" vertical="center" wrapText="1"/>
      <protection/>
    </xf>
    <xf numFmtId="1" fontId="17" fillId="0" borderId="10" xfId="61" applyNumberFormat="1" applyFont="1" applyFill="1" applyBorder="1" applyAlignment="1">
      <alignment horizontal="center" vertical="center" wrapText="1"/>
      <protection/>
    </xf>
    <xf numFmtId="49" fontId="2" fillId="0" borderId="10" xfId="61" applyNumberFormat="1" applyFont="1" applyFill="1" applyBorder="1" applyAlignment="1">
      <alignment vertical="top" wrapText="1"/>
      <protection/>
    </xf>
    <xf numFmtId="0" fontId="17" fillId="0" borderId="10" xfId="61" applyNumberFormat="1" applyFont="1" applyFill="1" applyBorder="1" applyAlignment="1">
      <alignment vertical="center" wrapText="1"/>
      <protection/>
    </xf>
    <xf numFmtId="49" fontId="17" fillId="0" borderId="10" xfId="61" applyNumberFormat="1" applyFont="1" applyFill="1" applyBorder="1" applyAlignment="1">
      <alignment horizontal="center" vertical="top" wrapText="1"/>
      <protection/>
    </xf>
    <xf numFmtId="0" fontId="2" fillId="0" borderId="10" xfId="61" applyNumberFormat="1" applyFont="1" applyFill="1" applyBorder="1" applyAlignment="1">
      <alignment horizontal="center" vertical="top" wrapText="1"/>
      <protection/>
    </xf>
    <xf numFmtId="0" fontId="2" fillId="0" borderId="10" xfId="61" applyNumberFormat="1" applyFont="1" applyFill="1" applyBorder="1" applyAlignment="1">
      <alignment vertical="top" wrapText="1"/>
      <protection/>
    </xf>
    <xf numFmtId="0" fontId="17" fillId="0" borderId="15" xfId="61" applyNumberFormat="1" applyFont="1" applyFill="1" applyBorder="1" applyAlignment="1">
      <alignment vertical="top" wrapText="1"/>
      <protection/>
    </xf>
    <xf numFmtId="0" fontId="17" fillId="0" borderId="16" xfId="61" applyNumberFormat="1" applyFont="1" applyFill="1" applyBorder="1" applyAlignment="1">
      <alignment vertical="top" wrapText="1"/>
      <protection/>
    </xf>
    <xf numFmtId="2" fontId="17" fillId="0" borderId="10" xfId="61" applyNumberFormat="1" applyFont="1" applyFill="1" applyBorder="1" applyAlignment="1">
      <alignment horizontal="center" vertical="top" wrapText="1"/>
      <protection/>
    </xf>
    <xf numFmtId="49" fontId="17" fillId="0" borderId="10" xfId="61" applyNumberFormat="1" applyFont="1" applyFill="1" applyBorder="1" applyAlignment="1">
      <alignment vertical="top" wrapText="1"/>
      <protection/>
    </xf>
    <xf numFmtId="0" fontId="17" fillId="0" borderId="10" xfId="61" applyNumberFormat="1" applyFont="1" applyFill="1" applyBorder="1" applyAlignment="1">
      <alignment vertical="top" wrapText="1"/>
      <protection/>
    </xf>
    <xf numFmtId="49" fontId="17" fillId="0" borderId="10" xfId="61" applyNumberFormat="1" applyFont="1" applyFill="1" applyBorder="1" applyAlignment="1" quotePrefix="1">
      <alignment horizontal="center" vertical="top" wrapText="1"/>
      <protection/>
    </xf>
    <xf numFmtId="0" fontId="2" fillId="0" borderId="10" xfId="61" applyNumberFormat="1" applyFont="1" applyFill="1" applyBorder="1" applyAlignment="1">
      <alignment horizontal="center" vertical="center" wrapText="1"/>
      <protection/>
    </xf>
    <xf numFmtId="0" fontId="2" fillId="0" borderId="10" xfId="66" applyFont="1" applyFill="1" applyBorder="1" applyAlignment="1">
      <alignment horizontal="left" vertical="center" wrapText="1"/>
      <protection/>
    </xf>
    <xf numFmtId="0" fontId="6" fillId="0" borderId="10" xfId="61" applyNumberFormat="1" applyFont="1" applyFill="1" applyBorder="1" applyAlignment="1">
      <alignment wrapText="1"/>
      <protection/>
    </xf>
    <xf numFmtId="49" fontId="6" fillId="0" borderId="10" xfId="61" applyNumberFormat="1" applyFont="1" applyFill="1" applyBorder="1" applyAlignment="1">
      <alignment horizontal="center" wrapText="1"/>
      <protection/>
    </xf>
    <xf numFmtId="2" fontId="6" fillId="0" borderId="10" xfId="61" applyNumberFormat="1" applyFont="1" applyFill="1" applyBorder="1" applyAlignment="1">
      <alignment horizontal="right" wrapText="1"/>
      <protection/>
    </xf>
    <xf numFmtId="1" fontId="0" fillId="0" borderId="10" xfId="0" applyNumberFormat="1" applyFill="1" applyBorder="1" applyAlignment="1">
      <alignment horizontal="center" vertical="center" wrapText="1"/>
    </xf>
    <xf numFmtId="0" fontId="0" fillId="0" borderId="10" xfId="0" applyFill="1" applyBorder="1" applyAlignment="1">
      <alignment vertical="center" wrapText="1"/>
    </xf>
    <xf numFmtId="0" fontId="0" fillId="0" borderId="10" xfId="0" applyFont="1" applyFill="1" applyBorder="1" applyAlignment="1">
      <alignment horizontal="left" vertical="center" wrapText="1"/>
    </xf>
    <xf numFmtId="1" fontId="0" fillId="0" borderId="10" xfId="0" applyNumberFormat="1" applyFill="1" applyBorder="1" applyAlignment="1">
      <alignment horizontal="left" vertical="center" wrapText="1"/>
    </xf>
    <xf numFmtId="0" fontId="0" fillId="0" borderId="12" xfId="0" applyFill="1" applyBorder="1" applyAlignment="1">
      <alignment horizontal="center" vertical="center" wrapText="1"/>
    </xf>
    <xf numFmtId="49" fontId="0" fillId="0" borderId="10" xfId="61" applyNumberFormat="1" applyFont="1" applyFill="1" applyBorder="1" applyAlignment="1">
      <alignment vertical="center" wrapText="1"/>
      <protection/>
    </xf>
    <xf numFmtId="0" fontId="1" fillId="0" borderId="10" xfId="0" applyNumberFormat="1" applyFont="1" applyFill="1" applyBorder="1" applyAlignment="1">
      <alignment vertical="center" wrapText="1"/>
    </xf>
    <xf numFmtId="2" fontId="1" fillId="0" borderId="10" xfId="0" applyNumberFormat="1" applyFont="1" applyFill="1" applyBorder="1" applyAlignment="1">
      <alignment horizontal="center" vertical="center" wrapText="1"/>
    </xf>
    <xf numFmtId="2" fontId="0"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1" fontId="1" fillId="0" borderId="10" xfId="0" applyNumberFormat="1" applyFont="1" applyFill="1" applyBorder="1" applyAlignment="1">
      <alignment horizontal="center" vertical="center" wrapText="1"/>
    </xf>
    <xf numFmtId="0" fontId="6" fillId="0" borderId="10" xfId="0" applyFont="1" applyFill="1" applyBorder="1" applyAlignment="1">
      <alignment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NumberFormat="1" applyFont="1" applyFill="1" applyBorder="1" applyAlignment="1">
      <alignment horizontal="center" wrapText="1"/>
    </xf>
    <xf numFmtId="49" fontId="6" fillId="0" borderId="10" xfId="61" applyNumberFormat="1" applyFont="1" applyFill="1" applyBorder="1" applyAlignment="1">
      <alignment vertical="center" wrapText="1"/>
      <protection/>
    </xf>
    <xf numFmtId="0" fontId="6" fillId="0" borderId="10" xfId="0" applyFont="1" applyFill="1" applyBorder="1" applyAlignment="1">
      <alignment vertical="top" wrapText="1"/>
    </xf>
    <xf numFmtId="0" fontId="6" fillId="0" borderId="10" xfId="0" applyNumberFormat="1" applyFont="1" applyFill="1" applyBorder="1" applyAlignment="1">
      <alignment horizontal="center"/>
    </xf>
    <xf numFmtId="0" fontId="5" fillId="0" borderId="10" xfId="0" applyFont="1" applyFill="1" applyBorder="1" applyAlignment="1">
      <alignment horizontal="center" vertical="top" wrapText="1"/>
    </xf>
    <xf numFmtId="2" fontId="5" fillId="0" borderId="10" xfId="0" applyNumberFormat="1" applyFont="1" applyFill="1" applyBorder="1" applyAlignment="1">
      <alignment horizontal="center" vertical="center" wrapText="1"/>
    </xf>
    <xf numFmtId="1" fontId="6" fillId="0" borderId="15" xfId="0" applyNumberFormat="1" applyFont="1" applyFill="1" applyBorder="1" applyAlignment="1">
      <alignment vertical="top" wrapText="1"/>
    </xf>
    <xf numFmtId="1" fontId="6" fillId="0" borderId="16" xfId="0" applyNumberFormat="1" applyFont="1" applyFill="1" applyBorder="1" applyAlignment="1">
      <alignment vertical="top" wrapText="1"/>
    </xf>
    <xf numFmtId="2" fontId="6" fillId="0" borderId="10" xfId="0" applyNumberFormat="1" applyFont="1" applyFill="1" applyBorder="1" applyAlignment="1">
      <alignment horizontal="center" vertical="top" wrapText="1"/>
    </xf>
    <xf numFmtId="0" fontId="17" fillId="0" borderId="10" xfId="0" applyFont="1" applyFill="1" applyBorder="1" applyAlignment="1">
      <alignment horizontal="left" vertical="center" wrapText="1"/>
    </xf>
    <xf numFmtId="0" fontId="17" fillId="0" borderId="12" xfId="0" applyNumberFormat="1" applyFont="1" applyFill="1" applyBorder="1" applyAlignment="1">
      <alignment horizontal="center" vertical="center" wrapText="1"/>
    </xf>
    <xf numFmtId="0" fontId="17" fillId="0" borderId="12" xfId="0" applyNumberFormat="1" applyFont="1" applyFill="1" applyBorder="1" applyAlignment="1">
      <alignment horizontal="center" vertical="top" wrapText="1"/>
    </xf>
    <xf numFmtId="0" fontId="17" fillId="0" borderId="10" xfId="0" applyFont="1" applyFill="1" applyBorder="1" applyAlignment="1">
      <alignment vertical="center" wrapText="1"/>
    </xf>
    <xf numFmtId="0" fontId="17" fillId="0" borderId="10" xfId="0" applyFont="1" applyFill="1" applyBorder="1" applyAlignment="1">
      <alignment horizontal="center" vertical="center" wrapText="1"/>
    </xf>
    <xf numFmtId="0" fontId="17" fillId="0" borderId="13" xfId="0" applyNumberFormat="1" applyFont="1" applyFill="1" applyBorder="1" applyAlignment="1">
      <alignment horizontal="center" vertical="center"/>
    </xf>
    <xf numFmtId="0" fontId="17" fillId="0" borderId="12" xfId="0" applyNumberFormat="1" applyFont="1" applyFill="1" applyBorder="1" applyAlignment="1">
      <alignment vertical="top" wrapText="1"/>
    </xf>
    <xf numFmtId="0" fontId="2" fillId="0" borderId="10" xfId="0" applyFont="1" applyFill="1" applyBorder="1" applyAlignment="1">
      <alignment horizontal="center" vertical="top" wrapText="1"/>
    </xf>
    <xf numFmtId="0" fontId="2" fillId="0" borderId="10" xfId="0" applyNumberFormat="1" applyFont="1" applyFill="1" applyBorder="1" applyAlignment="1">
      <alignment horizontal="left" vertical="top" wrapText="1"/>
    </xf>
    <xf numFmtId="0" fontId="2" fillId="0" borderId="10" xfId="0" applyFont="1" applyFill="1" applyBorder="1" applyAlignment="1">
      <alignment vertical="top" wrapText="1"/>
    </xf>
    <xf numFmtId="2" fontId="2" fillId="0" borderId="10" xfId="0" applyNumberFormat="1" applyFont="1" applyFill="1" applyBorder="1" applyAlignment="1">
      <alignment horizontal="center" vertical="top" wrapText="1"/>
    </xf>
    <xf numFmtId="0" fontId="17" fillId="0" borderId="10" xfId="0" applyFont="1" applyFill="1" applyBorder="1" applyAlignment="1">
      <alignment/>
    </xf>
    <xf numFmtId="0" fontId="17" fillId="0" borderId="16" xfId="0" applyFont="1" applyFill="1" applyBorder="1" applyAlignment="1">
      <alignment/>
    </xf>
    <xf numFmtId="0" fontId="17" fillId="0" borderId="16" xfId="0" applyFont="1" applyFill="1" applyBorder="1" applyAlignment="1">
      <alignment horizontal="center"/>
    </xf>
    <xf numFmtId="10" fontId="17" fillId="0" borderId="10" xfId="0" applyNumberFormat="1" applyFont="1" applyFill="1" applyBorder="1" applyAlignment="1">
      <alignment horizontal="right" vertical="center" wrapText="1"/>
    </xf>
    <xf numFmtId="0" fontId="17" fillId="0" borderId="10" xfId="0" applyFont="1" applyFill="1" applyBorder="1" applyAlignment="1">
      <alignment horizontal="left" wrapText="1"/>
    </xf>
    <xf numFmtId="0" fontId="17" fillId="0" borderId="10" xfId="0" applyFont="1" applyFill="1" applyBorder="1" applyAlignment="1">
      <alignment horizontal="center" wrapText="1"/>
    </xf>
    <xf numFmtId="2" fontId="2" fillId="0" borderId="10" xfId="0" applyNumberFormat="1" applyFont="1" applyFill="1" applyBorder="1" applyAlignment="1">
      <alignment horizontal="center"/>
    </xf>
    <xf numFmtId="9" fontId="17" fillId="0" borderId="10" xfId="0" applyNumberFormat="1" applyFont="1" applyFill="1" applyBorder="1" applyAlignment="1">
      <alignment horizontal="center" vertical="center" wrapText="1"/>
    </xf>
    <xf numFmtId="0" fontId="2" fillId="0" borderId="10" xfId="0" applyFont="1" applyFill="1" applyBorder="1" applyAlignment="1">
      <alignment horizontal="left" wrapText="1"/>
    </xf>
    <xf numFmtId="0" fontId="17" fillId="0" borderId="15" xfId="0" applyFont="1" applyFill="1" applyBorder="1" applyAlignment="1">
      <alignment horizontal="left" vertical="center" wrapText="1"/>
    </xf>
    <xf numFmtId="0" fontId="17" fillId="0" borderId="15" xfId="0" applyFont="1" applyFill="1" applyBorder="1" applyAlignment="1">
      <alignment vertical="top" wrapText="1"/>
    </xf>
    <xf numFmtId="0" fontId="17" fillId="0" borderId="16" xfId="0" applyFont="1" applyFill="1" applyBorder="1" applyAlignment="1">
      <alignment vertical="top" wrapText="1"/>
    </xf>
    <xf numFmtId="0" fontId="17" fillId="0" borderId="17" xfId="0" applyFont="1" applyFill="1" applyBorder="1" applyAlignment="1">
      <alignment vertical="top" wrapText="1"/>
    </xf>
    <xf numFmtId="0" fontId="17" fillId="0" borderId="10" xfId="0" applyFont="1" applyFill="1" applyBorder="1" applyAlignment="1">
      <alignment horizontal="right" vertical="top" wrapText="1"/>
    </xf>
    <xf numFmtId="0" fontId="17" fillId="0" borderId="15" xfId="0" applyFont="1" applyFill="1" applyBorder="1" applyAlignment="1">
      <alignment horizontal="center" vertical="top" wrapText="1"/>
    </xf>
    <xf numFmtId="0" fontId="17" fillId="0" borderId="10" xfId="0" applyFont="1" applyFill="1" applyBorder="1" applyAlignment="1" quotePrefix="1">
      <alignment horizontal="center" vertical="top" wrapText="1"/>
    </xf>
    <xf numFmtId="0" fontId="17" fillId="0" borderId="13" xfId="0" applyFont="1" applyFill="1" applyBorder="1" applyAlignment="1">
      <alignment horizontal="center" vertical="top" wrapText="1"/>
    </xf>
    <xf numFmtId="2" fontId="17" fillId="0" borderId="13" xfId="0" applyNumberFormat="1" applyFont="1" applyFill="1" applyBorder="1" applyAlignment="1">
      <alignment horizontal="center" vertical="top" wrapText="1"/>
    </xf>
    <xf numFmtId="0" fontId="2" fillId="0" borderId="17" xfId="0" applyFont="1" applyFill="1" applyBorder="1" applyAlignment="1">
      <alignment horizontal="center" vertical="top" wrapText="1"/>
    </xf>
    <xf numFmtId="0" fontId="17" fillId="0" borderId="12" xfId="0" applyFont="1" applyFill="1" applyBorder="1" applyAlignment="1">
      <alignment horizontal="center" vertical="top" wrapText="1"/>
    </xf>
    <xf numFmtId="0" fontId="17" fillId="0" borderId="15" xfId="0" applyFont="1" applyFill="1" applyBorder="1" applyAlignment="1">
      <alignment wrapText="1"/>
    </xf>
    <xf numFmtId="0" fontId="17" fillId="0" borderId="16" xfId="0" applyFont="1" applyFill="1" applyBorder="1" applyAlignment="1">
      <alignment wrapText="1"/>
    </xf>
    <xf numFmtId="2" fontId="17" fillId="0" borderId="10" xfId="0" applyNumberFormat="1" applyFont="1" applyFill="1" applyBorder="1" applyAlignment="1">
      <alignment horizontal="center" wrapText="1"/>
    </xf>
    <xf numFmtId="0" fontId="2" fillId="0" borderId="10" xfId="0" applyFont="1" applyFill="1" applyBorder="1" applyAlignment="1">
      <alignment vertical="center" wrapText="1"/>
    </xf>
    <xf numFmtId="2" fontId="2" fillId="0" borderId="10" xfId="0" applyNumberFormat="1" applyFont="1" applyFill="1" applyBorder="1" applyAlignment="1">
      <alignment horizontal="center" vertical="center" wrapText="1"/>
    </xf>
    <xf numFmtId="49" fontId="17" fillId="0" borderId="10" xfId="61" applyNumberFormat="1" applyFont="1" applyFill="1" applyBorder="1" applyAlignment="1">
      <alignment wrapText="1"/>
      <protection/>
    </xf>
    <xf numFmtId="49" fontId="2" fillId="0" borderId="10" xfId="61" applyNumberFormat="1" applyFont="1" applyFill="1" applyBorder="1" applyAlignment="1">
      <alignment horizontal="center" vertical="center" wrapText="1"/>
      <protection/>
    </xf>
    <xf numFmtId="0" fontId="2" fillId="0" borderId="10" xfId="0" applyFont="1" applyFill="1" applyBorder="1" applyAlignment="1">
      <alignment horizontal="left" vertical="center" wrapText="1"/>
    </xf>
    <xf numFmtId="0" fontId="17" fillId="0" borderId="10" xfId="61" applyNumberFormat="1" applyFont="1" applyFill="1" applyBorder="1" applyAlignment="1">
      <alignment horizontal="center" wrapText="1"/>
      <protection/>
    </xf>
    <xf numFmtId="49" fontId="17" fillId="0" borderId="10" xfId="61" applyNumberFormat="1" applyFont="1" applyFill="1" applyBorder="1" applyAlignment="1">
      <alignment horizontal="center" wrapText="1"/>
      <protection/>
    </xf>
    <xf numFmtId="2" fontId="17" fillId="0" borderId="10" xfId="61" applyNumberFormat="1" applyFont="1" applyFill="1" applyBorder="1" applyAlignment="1">
      <alignment horizontal="center" wrapText="1"/>
      <protection/>
    </xf>
    <xf numFmtId="2" fontId="2" fillId="0" borderId="10" xfId="61" applyNumberFormat="1" applyFont="1" applyFill="1" applyBorder="1" applyAlignment="1">
      <alignment horizontal="center" wrapText="1"/>
      <protection/>
    </xf>
    <xf numFmtId="0" fontId="0" fillId="0" borderId="10" xfId="0" applyFill="1" applyBorder="1" applyAlignment="1">
      <alignment horizontal="left" vertical="center"/>
    </xf>
    <xf numFmtId="0" fontId="0" fillId="0" borderId="10" xfId="0" applyFill="1" applyBorder="1" applyAlignment="1">
      <alignment horizontal="left" vertical="center" wrapText="1"/>
    </xf>
    <xf numFmtId="0" fontId="0" fillId="0" borderId="10" xfId="0" applyFill="1" applyBorder="1" applyAlignment="1">
      <alignment vertical="center"/>
    </xf>
    <xf numFmtId="0" fontId="0" fillId="0" borderId="12" xfId="0" applyFill="1" applyBorder="1" applyAlignment="1">
      <alignment horizontal="center" vertical="center"/>
    </xf>
    <xf numFmtId="0" fontId="0" fillId="0" borderId="10" xfId="0" applyFont="1" applyFill="1" applyBorder="1" applyAlignment="1">
      <alignment horizontal="center" vertical="center"/>
    </xf>
    <xf numFmtId="2" fontId="0" fillId="0" borderId="19" xfId="0" applyNumberFormat="1" applyFill="1" applyBorder="1" applyAlignment="1">
      <alignment horizontal="center" vertical="center"/>
    </xf>
    <xf numFmtId="0" fontId="0" fillId="0" borderId="10" xfId="0" applyFont="1" applyFill="1" applyBorder="1" applyAlignment="1">
      <alignment vertical="center" wrapText="1"/>
    </xf>
    <xf numFmtId="49" fontId="0" fillId="0" borderId="10" xfId="0" applyNumberFormat="1" applyFont="1" applyFill="1" applyBorder="1" applyAlignment="1">
      <alignment horizontal="left" vertical="center" wrapText="1"/>
    </xf>
    <xf numFmtId="2" fontId="1" fillId="0" borderId="10" xfId="0" applyNumberFormat="1" applyFont="1" applyFill="1" applyBorder="1" applyAlignment="1">
      <alignment horizontal="center" vertical="center"/>
    </xf>
    <xf numFmtId="0" fontId="0" fillId="0" borderId="10" xfId="0" applyFont="1" applyFill="1" applyBorder="1" applyAlignment="1">
      <alignment horizontal="left" wrapText="1"/>
    </xf>
    <xf numFmtId="10" fontId="0" fillId="0" borderId="10" xfId="0" applyNumberFormat="1" applyFont="1" applyFill="1" applyBorder="1" applyAlignment="1">
      <alignment horizontal="right" vertical="center" wrapText="1"/>
    </xf>
    <xf numFmtId="2" fontId="0" fillId="0" borderId="10" xfId="0" applyNumberFormat="1" applyFont="1" applyFill="1" applyBorder="1" applyAlignment="1">
      <alignment horizontal="center" vertical="center"/>
    </xf>
    <xf numFmtId="49" fontId="1" fillId="0" borderId="10" xfId="0" applyNumberFormat="1" applyFont="1" applyFill="1" applyBorder="1" applyAlignment="1">
      <alignment horizontal="left" vertical="center" wrapText="1"/>
    </xf>
    <xf numFmtId="0" fontId="17" fillId="0" borderId="13" xfId="0" applyFont="1" applyFill="1" applyBorder="1" applyAlignment="1">
      <alignment vertical="center" wrapText="1"/>
    </xf>
    <xf numFmtId="0" fontId="17" fillId="0" borderId="19" xfId="0" applyFont="1" applyFill="1" applyBorder="1" applyAlignment="1">
      <alignment horizontal="center" vertical="top" wrapText="1"/>
    </xf>
    <xf numFmtId="196" fontId="17" fillId="0" borderId="10" xfId="0" applyNumberFormat="1"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2" xfId="0" applyFont="1" applyFill="1" applyBorder="1" applyAlignment="1">
      <alignment vertical="top" wrapText="1"/>
    </xf>
    <xf numFmtId="1" fontId="17" fillId="0" borderId="12" xfId="0" applyNumberFormat="1" applyFont="1" applyFill="1" applyBorder="1" applyAlignment="1">
      <alignment horizontal="center" vertical="center" wrapText="1"/>
    </xf>
    <xf numFmtId="2" fontId="17" fillId="0" borderId="12" xfId="0" applyNumberFormat="1" applyFont="1" applyFill="1" applyBorder="1" applyAlignment="1">
      <alignment horizontal="center" vertical="center" wrapText="1"/>
    </xf>
    <xf numFmtId="0" fontId="17" fillId="0" borderId="10" xfId="0" applyNumberFormat="1" applyFont="1" applyFill="1" applyBorder="1" applyAlignment="1">
      <alignment horizontal="center" vertical="top"/>
    </xf>
    <xf numFmtId="2" fontId="17" fillId="0" borderId="12" xfId="0" applyNumberFormat="1" applyFont="1" applyFill="1" applyBorder="1" applyAlignment="1">
      <alignment horizontal="center" vertical="top" wrapText="1"/>
    </xf>
    <xf numFmtId="0" fontId="17" fillId="0" borderId="10" xfId="0" applyNumberFormat="1" applyFont="1" applyFill="1" applyBorder="1" applyAlignment="1">
      <alignment horizontal="center" vertical="center"/>
    </xf>
    <xf numFmtId="0" fontId="17" fillId="0" borderId="10" xfId="0" applyFont="1" applyFill="1" applyBorder="1" applyAlignment="1">
      <alignment vertical="center"/>
    </xf>
    <xf numFmtId="0" fontId="2" fillId="0" borderId="12" xfId="0" applyNumberFormat="1" applyFont="1" applyFill="1" applyBorder="1" applyAlignment="1">
      <alignment vertical="center" wrapText="1"/>
    </xf>
    <xf numFmtId="0" fontId="2" fillId="0" borderId="12" xfId="0" applyFont="1" applyFill="1" applyBorder="1" applyAlignment="1">
      <alignment vertical="center" wrapText="1"/>
    </xf>
    <xf numFmtId="2" fontId="2" fillId="0" borderId="12" xfId="0" applyNumberFormat="1" applyFont="1" applyFill="1" applyBorder="1" applyAlignment="1">
      <alignment horizontal="center" vertical="center" wrapText="1"/>
    </xf>
    <xf numFmtId="0" fontId="2" fillId="0" borderId="15" xfId="0" applyNumberFormat="1" applyFont="1" applyFill="1" applyBorder="1" applyAlignment="1">
      <alignment vertical="center" wrapText="1"/>
    </xf>
    <xf numFmtId="0" fontId="2" fillId="0" borderId="16" xfId="0" applyNumberFormat="1" applyFont="1" applyFill="1" applyBorder="1" applyAlignment="1">
      <alignment vertical="center" wrapText="1"/>
    </xf>
    <xf numFmtId="0" fontId="17" fillId="0" borderId="16" xfId="0" applyNumberFormat="1" applyFont="1" applyFill="1" applyBorder="1" applyAlignment="1">
      <alignment horizontal="center" vertical="center" wrapText="1"/>
    </xf>
    <xf numFmtId="0" fontId="17" fillId="0" borderId="10" xfId="0" applyNumberFormat="1" applyFont="1" applyFill="1" applyBorder="1" applyAlignment="1">
      <alignment vertical="center" wrapText="1"/>
    </xf>
    <xf numFmtId="0" fontId="17" fillId="0" borderId="12" xfId="0" applyNumberFormat="1" applyFont="1" applyFill="1" applyBorder="1" applyAlignment="1">
      <alignment vertical="center" wrapText="1"/>
    </xf>
    <xf numFmtId="196" fontId="17" fillId="0" borderId="12" xfId="0" applyNumberFormat="1" applyFont="1" applyFill="1" applyBorder="1" applyAlignment="1">
      <alignment horizontal="center" vertical="center" wrapText="1"/>
    </xf>
    <xf numFmtId="0" fontId="17" fillId="0" borderId="12" xfId="0" applyFont="1" applyFill="1" applyBorder="1" applyAlignment="1">
      <alignment vertical="center" wrapText="1"/>
    </xf>
    <xf numFmtId="0" fontId="2" fillId="0" borderId="12" xfId="0" applyFont="1" applyFill="1" applyBorder="1" applyAlignment="1">
      <alignment horizontal="center" vertical="top" wrapText="1"/>
    </xf>
    <xf numFmtId="0" fontId="0" fillId="0" borderId="10" xfId="0" applyFill="1" applyBorder="1" applyAlignment="1">
      <alignment horizontal="center" vertical="top"/>
    </xf>
    <xf numFmtId="49" fontId="0" fillId="0" borderId="10" xfId="0" applyNumberFormat="1" applyFont="1" applyFill="1" applyBorder="1" applyAlignment="1">
      <alignment horizontal="left" vertical="top" wrapText="1"/>
    </xf>
    <xf numFmtId="0" fontId="0" fillId="0" borderId="10" xfId="0" applyFont="1" applyFill="1" applyBorder="1" applyAlignment="1">
      <alignment horizontal="left" vertical="top" wrapText="1"/>
    </xf>
    <xf numFmtId="0" fontId="5" fillId="0" borderId="15" xfId="0" applyFont="1" applyFill="1" applyBorder="1" applyAlignment="1">
      <alignment vertical="center"/>
    </xf>
    <xf numFmtId="0" fontId="5" fillId="0" borderId="16" xfId="0" applyFont="1" applyFill="1" applyBorder="1" applyAlignment="1">
      <alignment vertical="center"/>
    </xf>
    <xf numFmtId="0" fontId="5" fillId="0" borderId="17" xfId="0" applyFont="1" applyFill="1" applyBorder="1" applyAlignment="1">
      <alignment vertical="center"/>
    </xf>
    <xf numFmtId="1" fontId="17" fillId="0" borderId="10"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2" fillId="0" borderId="15" xfId="0" applyNumberFormat="1" applyFont="1" applyFill="1" applyBorder="1" applyAlignment="1">
      <alignment vertical="center"/>
    </xf>
    <xf numFmtId="0" fontId="2" fillId="0" borderId="16" xfId="0" applyNumberFormat="1" applyFont="1" applyFill="1" applyBorder="1" applyAlignment="1">
      <alignment vertical="center"/>
    </xf>
    <xf numFmtId="0" fontId="2" fillId="0" borderId="17" xfId="0" applyNumberFormat="1" applyFont="1" applyFill="1" applyBorder="1" applyAlignment="1">
      <alignment vertical="center"/>
    </xf>
    <xf numFmtId="0" fontId="17" fillId="0" borderId="13" xfId="0" applyFont="1" applyFill="1" applyBorder="1" applyAlignment="1">
      <alignment vertical="top" wrapText="1"/>
    </xf>
    <xf numFmtId="0" fontId="17" fillId="0" borderId="13" xfId="0" applyFont="1" applyFill="1" applyBorder="1" applyAlignment="1">
      <alignment horizontal="center" vertical="center"/>
    </xf>
    <xf numFmtId="2" fontId="17" fillId="0" borderId="13" xfId="0" applyNumberFormat="1" applyFont="1" applyFill="1" applyBorder="1" applyAlignment="1">
      <alignment horizontal="center" vertical="center"/>
    </xf>
    <xf numFmtId="0" fontId="17" fillId="0" borderId="13" xfId="0" applyFont="1" applyFill="1" applyBorder="1" applyAlignment="1" quotePrefix="1">
      <alignment horizontal="center" vertical="center"/>
    </xf>
    <xf numFmtId="0" fontId="17" fillId="0" borderId="10" xfId="0" applyFont="1" applyFill="1" applyBorder="1" applyAlignment="1" quotePrefix="1">
      <alignment horizontal="center" vertical="center"/>
    </xf>
    <xf numFmtId="0" fontId="17" fillId="0" borderId="10" xfId="0" applyFont="1" applyFill="1" applyBorder="1" applyAlignment="1" quotePrefix="1">
      <alignment horizontal="center"/>
    </xf>
    <xf numFmtId="0" fontId="33" fillId="0" borderId="15" xfId="0" applyFont="1" applyFill="1" applyBorder="1" applyAlignment="1">
      <alignment vertical="center" wrapText="1"/>
    </xf>
    <xf numFmtId="1" fontId="17" fillId="0" borderId="13" xfId="0" applyNumberFormat="1" applyFont="1" applyFill="1" applyBorder="1" applyAlignment="1">
      <alignment horizontal="center" vertical="center"/>
    </xf>
    <xf numFmtId="0" fontId="17" fillId="0" borderId="15" xfId="0" applyNumberFormat="1" applyFont="1" applyFill="1" applyBorder="1" applyAlignment="1">
      <alignment vertical="center"/>
    </xf>
    <xf numFmtId="0" fontId="17" fillId="0" borderId="16" xfId="0" applyNumberFormat="1" applyFont="1" applyFill="1" applyBorder="1" applyAlignment="1">
      <alignment vertical="center"/>
    </xf>
    <xf numFmtId="0" fontId="17" fillId="0" borderId="17" xfId="0" applyNumberFormat="1" applyFont="1" applyFill="1" applyBorder="1" applyAlignment="1">
      <alignment vertical="center"/>
    </xf>
    <xf numFmtId="0" fontId="2" fillId="0" borderId="10" xfId="0" applyNumberFormat="1" applyFont="1" applyFill="1" applyBorder="1" applyAlignment="1">
      <alignment horizontal="center"/>
    </xf>
    <xf numFmtId="0" fontId="2" fillId="0" borderId="15" xfId="0" applyFont="1" applyFill="1" applyBorder="1" applyAlignment="1">
      <alignment/>
    </xf>
    <xf numFmtId="0" fontId="2" fillId="0" borderId="16" xfId="0" applyFont="1" applyFill="1" applyBorder="1" applyAlignment="1">
      <alignment horizontal="center"/>
    </xf>
    <xf numFmtId="0" fontId="2" fillId="0" borderId="16" xfId="0" applyFont="1" applyFill="1" applyBorder="1" applyAlignment="1">
      <alignment/>
    </xf>
    <xf numFmtId="0" fontId="2" fillId="0" borderId="17" xfId="0" applyFont="1" applyFill="1" applyBorder="1" applyAlignment="1">
      <alignment/>
    </xf>
    <xf numFmtId="0" fontId="17" fillId="0" borderId="10" xfId="0" applyFont="1" applyFill="1" applyBorder="1" applyAlignment="1" quotePrefix="1">
      <alignment horizontal="center" vertical="center" wrapText="1"/>
    </xf>
    <xf numFmtId="0" fontId="17" fillId="0" borderId="20" xfId="0" applyNumberFormat="1" applyFont="1" applyFill="1" applyBorder="1" applyAlignment="1">
      <alignment horizontal="center" vertical="center"/>
    </xf>
    <xf numFmtId="0" fontId="17" fillId="0" borderId="21" xfId="0" applyFont="1" applyFill="1" applyBorder="1" applyAlignment="1">
      <alignment vertical="center" wrapText="1"/>
    </xf>
    <xf numFmtId="0" fontId="17" fillId="0" borderId="10" xfId="0" applyNumberFormat="1" applyFont="1" applyFill="1" applyBorder="1" applyAlignment="1">
      <alignment horizontal="center" vertical="center"/>
    </xf>
    <xf numFmtId="0" fontId="17" fillId="0" borderId="10" xfId="0" applyNumberFormat="1" applyFont="1" applyFill="1" applyBorder="1" applyAlignment="1">
      <alignment horizontal="center"/>
    </xf>
    <xf numFmtId="2" fontId="17" fillId="0" borderId="10" xfId="0" applyNumberFormat="1" applyFont="1" applyFill="1" applyBorder="1" applyAlignment="1">
      <alignment/>
    </xf>
    <xf numFmtId="196" fontId="17" fillId="0" borderId="10" xfId="0" applyNumberFormat="1" applyFont="1" applyFill="1" applyBorder="1" applyAlignment="1">
      <alignment horizontal="center"/>
    </xf>
    <xf numFmtId="2" fontId="17" fillId="0" borderId="10" xfId="0" applyNumberFormat="1" applyFont="1" applyFill="1" applyBorder="1" applyAlignment="1">
      <alignment horizontal="right" vertical="top" wrapText="1"/>
    </xf>
    <xf numFmtId="0" fontId="17" fillId="0" borderId="15" xfId="0" applyNumberFormat="1" applyFont="1" applyFill="1" applyBorder="1" applyAlignment="1">
      <alignment/>
    </xf>
    <xf numFmtId="0" fontId="17" fillId="0" borderId="16" xfId="0" applyNumberFormat="1" applyFont="1" applyFill="1" applyBorder="1" applyAlignment="1">
      <alignment/>
    </xf>
    <xf numFmtId="0" fontId="17" fillId="0" borderId="17" xfId="0" applyNumberFormat="1" applyFont="1" applyFill="1" applyBorder="1" applyAlignment="1">
      <alignment/>
    </xf>
    <xf numFmtId="0" fontId="17" fillId="0" borderId="10" xfId="0" applyNumberFormat="1" applyFont="1" applyFill="1" applyBorder="1" applyAlignment="1">
      <alignment horizontal="center" vertical="center"/>
    </xf>
    <xf numFmtId="0" fontId="5" fillId="0" borderId="10" xfId="0" applyFont="1" applyFill="1" applyBorder="1" applyAlignment="1">
      <alignment horizontal="center"/>
    </xf>
    <xf numFmtId="0" fontId="17" fillId="0" borderId="10" xfId="0" applyFont="1" applyFill="1" applyBorder="1" applyAlignment="1">
      <alignment/>
    </xf>
    <xf numFmtId="0" fontId="6" fillId="0" borderId="10" xfId="0" applyFont="1" applyFill="1" applyBorder="1" applyAlignment="1">
      <alignment horizontal="center" vertical="top"/>
    </xf>
    <xf numFmtId="0" fontId="6" fillId="0" borderId="10" xfId="0" applyFont="1" applyFill="1" applyBorder="1" applyAlignment="1">
      <alignment horizontal="center"/>
    </xf>
    <xf numFmtId="49" fontId="17" fillId="0" borderId="10" xfId="0" applyNumberFormat="1" applyFont="1" applyFill="1" applyBorder="1" applyAlignment="1">
      <alignment vertical="center" wrapText="1"/>
    </xf>
    <xf numFmtId="0" fontId="17" fillId="0" borderId="10" xfId="0" applyFont="1" applyFill="1" applyBorder="1" applyAlignment="1">
      <alignment wrapText="1"/>
    </xf>
    <xf numFmtId="0" fontId="2" fillId="0" borderId="10" xfId="0" applyFont="1" applyFill="1" applyBorder="1" applyAlignment="1">
      <alignment/>
    </xf>
    <xf numFmtId="0" fontId="39" fillId="0" borderId="15" xfId="0" applyFont="1" applyFill="1" applyBorder="1" applyAlignment="1">
      <alignment vertical="center"/>
    </xf>
    <xf numFmtId="0" fontId="39" fillId="0" borderId="16" xfId="0" applyFont="1" applyFill="1" applyBorder="1" applyAlignment="1">
      <alignment vertical="center"/>
    </xf>
    <xf numFmtId="0" fontId="22" fillId="0" borderId="10" xfId="0" applyNumberFormat="1" applyFont="1" applyFill="1" applyBorder="1" applyAlignment="1">
      <alignment horizontal="center" vertical="center"/>
    </xf>
    <xf numFmtId="0" fontId="22" fillId="0" borderId="10" xfId="0" applyFont="1" applyFill="1" applyBorder="1" applyAlignment="1">
      <alignment horizontal="center" vertical="center"/>
    </xf>
    <xf numFmtId="2" fontId="22" fillId="0" borderId="10" xfId="0" applyNumberFormat="1" applyFont="1" applyFill="1" applyBorder="1" applyAlignment="1">
      <alignment horizontal="center" vertical="center"/>
    </xf>
    <xf numFmtId="0" fontId="39" fillId="0" borderId="10" xfId="0" applyFont="1" applyFill="1" applyBorder="1" applyAlignment="1">
      <alignment horizontal="center" vertical="center"/>
    </xf>
    <xf numFmtId="0" fontId="39" fillId="0" borderId="10" xfId="0" applyNumberFormat="1" applyFont="1" applyFill="1" applyBorder="1" applyAlignment="1">
      <alignment vertical="center" wrapText="1"/>
    </xf>
    <xf numFmtId="0" fontId="39" fillId="0" borderId="10" xfId="0" applyNumberFormat="1" applyFont="1" applyFill="1" applyBorder="1" applyAlignment="1">
      <alignment horizontal="center" vertical="center"/>
    </xf>
    <xf numFmtId="2" fontId="39" fillId="0" borderId="10" xfId="0" applyNumberFormat="1" applyFont="1" applyFill="1" applyBorder="1" applyAlignment="1">
      <alignment horizontal="center" vertical="center"/>
    </xf>
    <xf numFmtId="49" fontId="22" fillId="0" borderId="10" xfId="0" applyNumberFormat="1" applyFont="1" applyFill="1" applyBorder="1" applyAlignment="1">
      <alignment vertical="center" wrapText="1"/>
    </xf>
    <xf numFmtId="1" fontId="39" fillId="0" borderId="10" xfId="0" applyNumberFormat="1" applyFont="1" applyFill="1" applyBorder="1" applyAlignment="1">
      <alignment vertical="center"/>
    </xf>
    <xf numFmtId="1" fontId="39" fillId="0" borderId="10" xfId="0" applyNumberFormat="1" applyFont="1" applyFill="1" applyBorder="1" applyAlignment="1">
      <alignment horizontal="center" vertical="center"/>
    </xf>
    <xf numFmtId="0" fontId="22" fillId="0" borderId="15" xfId="0" applyFont="1" applyFill="1" applyBorder="1" applyAlignment="1">
      <alignment horizontal="center" vertical="center"/>
    </xf>
    <xf numFmtId="0" fontId="22" fillId="0" borderId="15" xfId="0" applyFont="1" applyFill="1" applyBorder="1" applyAlignment="1">
      <alignment vertical="center"/>
    </xf>
    <xf numFmtId="0" fontId="22" fillId="0" borderId="16" xfId="0" applyNumberFormat="1" applyFont="1" applyFill="1" applyBorder="1" applyAlignment="1">
      <alignment horizontal="center" vertical="center"/>
    </xf>
    <xf numFmtId="2" fontId="22" fillId="0" borderId="17" xfId="0" applyNumberFormat="1" applyFont="1" applyFill="1" applyBorder="1" applyAlignment="1">
      <alignment horizontal="center" vertical="center"/>
    </xf>
    <xf numFmtId="0" fontId="22" fillId="0" borderId="10" xfId="0" applyFont="1" applyFill="1" applyBorder="1" applyAlignment="1">
      <alignment horizontal="left" vertical="center"/>
    </xf>
    <xf numFmtId="2" fontId="22" fillId="0" borderId="16" xfId="0" applyNumberFormat="1" applyFont="1" applyFill="1" applyBorder="1" applyAlignment="1">
      <alignment horizontal="center" vertical="center"/>
    </xf>
    <xf numFmtId="0" fontId="22" fillId="0" borderId="10" xfId="0" applyFont="1" applyFill="1" applyBorder="1" applyAlignment="1">
      <alignment horizontal="left" vertical="center" wrapText="1"/>
    </xf>
    <xf numFmtId="0" fontId="39" fillId="0" borderId="10" xfId="0" applyFont="1" applyFill="1" applyBorder="1" applyAlignment="1">
      <alignment horizontal="center" vertical="center"/>
    </xf>
    <xf numFmtId="2" fontId="39" fillId="0" borderId="10" xfId="0" applyNumberFormat="1" applyFont="1" applyFill="1" applyBorder="1" applyAlignment="1">
      <alignment horizontal="center" vertical="center"/>
    </xf>
    <xf numFmtId="0" fontId="22" fillId="0" borderId="17" xfId="0" applyFont="1" applyFill="1" applyBorder="1" applyAlignment="1">
      <alignment vertical="center"/>
    </xf>
    <xf numFmtId="0" fontId="22" fillId="0" borderId="17" xfId="0" applyFont="1" applyFill="1" applyBorder="1" applyAlignment="1">
      <alignment horizontal="center" vertical="center"/>
    </xf>
    <xf numFmtId="0" fontId="39" fillId="0" borderId="13" xfId="0" applyFont="1" applyFill="1" applyBorder="1" applyAlignment="1">
      <alignment horizontal="center" vertical="center"/>
    </xf>
    <xf numFmtId="0" fontId="5" fillId="0" borderId="23" xfId="0" applyFont="1" applyFill="1" applyBorder="1" applyAlignment="1">
      <alignment horizontal="center" vertical="center"/>
    </xf>
    <xf numFmtId="2" fontId="2" fillId="0" borderId="13" xfId="0" applyNumberFormat="1" applyFont="1" applyFill="1" applyBorder="1" applyAlignment="1">
      <alignment horizontal="center" vertical="center"/>
    </xf>
    <xf numFmtId="0" fontId="0" fillId="0" borderId="12" xfId="0" applyFill="1" applyBorder="1" applyAlignment="1">
      <alignment horizontal="center" vertical="top"/>
    </xf>
    <xf numFmtId="0" fontId="1" fillId="0" borderId="10" xfId="0" applyFont="1" applyFill="1" applyBorder="1" applyAlignment="1">
      <alignment/>
    </xf>
    <xf numFmtId="0" fontId="1" fillId="0" borderId="15" xfId="0" applyFont="1" applyFill="1" applyBorder="1" applyAlignment="1">
      <alignment wrapText="1"/>
    </xf>
    <xf numFmtId="0" fontId="1" fillId="0" borderId="16" xfId="0" applyFont="1" applyFill="1" applyBorder="1" applyAlignment="1">
      <alignment wrapText="1"/>
    </xf>
    <xf numFmtId="0" fontId="1" fillId="0" borderId="17" xfId="0" applyFont="1" applyFill="1" applyBorder="1" applyAlignment="1">
      <alignment wrapText="1"/>
    </xf>
    <xf numFmtId="0" fontId="0" fillId="0" borderId="19" xfId="0" applyFill="1" applyBorder="1" applyAlignment="1">
      <alignment horizontal="center" vertical="top"/>
    </xf>
    <xf numFmtId="0" fontId="0" fillId="0" borderId="10" xfId="0" applyFill="1" applyBorder="1" applyAlignment="1">
      <alignment horizontal="right" vertical="top"/>
    </xf>
    <xf numFmtId="0" fontId="1" fillId="0" borderId="10" xfId="0" applyFont="1" applyFill="1" applyBorder="1" applyAlignment="1">
      <alignment wrapText="1"/>
    </xf>
    <xf numFmtId="0" fontId="0" fillId="0" borderId="15" xfId="0" applyNumberFormat="1" applyFill="1" applyBorder="1" applyAlignment="1">
      <alignment/>
    </xf>
    <xf numFmtId="0" fontId="0" fillId="0" borderId="16" xfId="0" applyNumberFormat="1" applyFill="1" applyBorder="1" applyAlignment="1">
      <alignment/>
    </xf>
    <xf numFmtId="0" fontId="0" fillId="0" borderId="17" xfId="0" applyNumberFormat="1" applyFill="1" applyBorder="1" applyAlignment="1">
      <alignment/>
    </xf>
    <xf numFmtId="0" fontId="0" fillId="0" borderId="10" xfId="0" applyFill="1" applyBorder="1" applyAlignment="1">
      <alignment wrapText="1"/>
    </xf>
    <xf numFmtId="0" fontId="0" fillId="0" borderId="10" xfId="0" applyNumberFormat="1" applyFill="1" applyBorder="1" applyAlignment="1">
      <alignment horizontal="center"/>
    </xf>
    <xf numFmtId="2" fontId="0" fillId="0" borderId="10" xfId="0" applyNumberFormat="1" applyFill="1" applyBorder="1" applyAlignment="1">
      <alignment horizontal="center"/>
    </xf>
    <xf numFmtId="0" fontId="1" fillId="0" borderId="10" xfId="0" applyFont="1" applyFill="1" applyBorder="1" applyAlignment="1">
      <alignment horizontal="left" wrapText="1"/>
    </xf>
    <xf numFmtId="2" fontId="1" fillId="0" borderId="10" xfId="0" applyNumberFormat="1" applyFont="1" applyFill="1" applyBorder="1" applyAlignment="1">
      <alignment horizontal="center"/>
    </xf>
    <xf numFmtId="0" fontId="41" fillId="0" borderId="10" xfId="0" applyFont="1" applyFill="1" applyBorder="1" applyAlignment="1">
      <alignment horizontal="left" vertical="center" wrapText="1"/>
    </xf>
    <xf numFmtId="0" fontId="0" fillId="0" borderId="10" xfId="0" applyNumberFormat="1" applyFill="1" applyBorder="1" applyAlignment="1">
      <alignment horizontal="center" vertical="center"/>
    </xf>
    <xf numFmtId="0" fontId="0" fillId="0" borderId="10" xfId="0" applyFill="1" applyBorder="1" applyAlignment="1">
      <alignment horizontal="right"/>
    </xf>
    <xf numFmtId="0" fontId="0" fillId="0" borderId="10" xfId="0" applyFill="1" applyBorder="1" applyAlignment="1">
      <alignment horizontal="right" vertical="center"/>
    </xf>
    <xf numFmtId="0" fontId="42" fillId="0" borderId="15" xfId="0" applyFont="1" applyFill="1" applyBorder="1" applyAlignment="1">
      <alignment vertical="center" wrapText="1"/>
    </xf>
    <xf numFmtId="0" fontId="0" fillId="0" borderId="13" xfId="0" applyNumberFormat="1" applyFont="1" applyFill="1" applyBorder="1" applyAlignment="1">
      <alignment horizontal="center" vertical="center"/>
    </xf>
    <xf numFmtId="0" fontId="0" fillId="0" borderId="10" xfId="0" applyNumberFormat="1" applyFill="1" applyBorder="1" applyAlignment="1">
      <alignment horizontal="center" vertical="top"/>
    </xf>
    <xf numFmtId="2" fontId="0" fillId="0" borderId="10" xfId="0" applyNumberFormat="1" applyFill="1" applyBorder="1" applyAlignment="1">
      <alignment horizontal="center" vertical="top"/>
    </xf>
    <xf numFmtId="49" fontId="0" fillId="0" borderId="10" xfId="0" applyNumberFormat="1" applyFill="1" applyBorder="1" applyAlignment="1">
      <alignment horizontal="center" vertical="top"/>
    </xf>
    <xf numFmtId="0" fontId="1" fillId="0" borderId="16" xfId="0" applyFont="1" applyFill="1" applyBorder="1" applyAlignment="1">
      <alignment horizontal="left" wrapText="1"/>
    </xf>
    <xf numFmtId="0" fontId="0" fillId="0" borderId="10" xfId="0" applyFont="1" applyFill="1" applyBorder="1" applyAlignment="1">
      <alignment horizontal="right" vertical="center" wrapText="1"/>
    </xf>
    <xf numFmtId="0" fontId="0" fillId="0" borderId="17" xfId="0" applyFont="1" applyFill="1" applyBorder="1" applyAlignment="1">
      <alignment horizontal="left" vertical="center" wrapText="1"/>
    </xf>
    <xf numFmtId="0" fontId="0" fillId="0" borderId="12" xfId="0" applyNumberFormat="1" applyFill="1" applyBorder="1" applyAlignment="1">
      <alignment horizontal="center" vertical="center"/>
    </xf>
    <xf numFmtId="2" fontId="0" fillId="0" borderId="16" xfId="0" applyNumberFormat="1" applyFill="1" applyBorder="1" applyAlignment="1">
      <alignment horizontal="center" vertical="center"/>
    </xf>
    <xf numFmtId="0" fontId="1" fillId="0" borderId="17" xfId="0" applyFont="1" applyFill="1" applyBorder="1" applyAlignment="1">
      <alignment horizontal="left" vertical="top" wrapText="1"/>
    </xf>
    <xf numFmtId="0" fontId="0" fillId="0" borderId="12" xfId="0" applyNumberFormat="1" applyFill="1" applyBorder="1" applyAlignment="1">
      <alignment horizontal="center" vertical="top"/>
    </xf>
    <xf numFmtId="0" fontId="0" fillId="0" borderId="17" xfId="0" applyFont="1" applyFill="1" applyBorder="1" applyAlignment="1">
      <alignment horizontal="left" vertical="top" wrapText="1"/>
    </xf>
    <xf numFmtId="0" fontId="0" fillId="0" borderId="13" xfId="0" applyFont="1" applyFill="1" applyBorder="1" applyAlignment="1">
      <alignment horizontal="right" vertical="top" wrapText="1"/>
    </xf>
    <xf numFmtId="0" fontId="0" fillId="0" borderId="21" xfId="0" applyFont="1" applyFill="1" applyBorder="1" applyAlignment="1">
      <alignment vertical="center" wrapText="1"/>
    </xf>
    <xf numFmtId="0"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0" applyFont="1" applyFill="1" applyBorder="1" applyAlignment="1">
      <alignment horizontal="right" vertical="top" wrapText="1"/>
    </xf>
    <xf numFmtId="0" fontId="0" fillId="0" borderId="17" xfId="0" applyFont="1" applyFill="1" applyBorder="1" applyAlignment="1">
      <alignment horizontal="left" wrapText="1"/>
    </xf>
    <xf numFmtId="0" fontId="0" fillId="0" borderId="12" xfId="0" applyNumberFormat="1" applyFill="1" applyBorder="1" applyAlignment="1">
      <alignment horizontal="center"/>
    </xf>
    <xf numFmtId="2" fontId="0" fillId="0" borderId="17" xfId="0" applyNumberFormat="1" applyFill="1" applyBorder="1" applyAlignment="1">
      <alignment horizontal="center" vertical="center"/>
    </xf>
    <xf numFmtId="0" fontId="1" fillId="0" borderId="15" xfId="0" applyFont="1" applyFill="1" applyBorder="1" applyAlignment="1">
      <alignment horizontal="left" wrapText="1"/>
    </xf>
    <xf numFmtId="0" fontId="0" fillId="0" borderId="10" xfId="0" applyNumberFormat="1" applyFill="1" applyBorder="1" applyAlignment="1">
      <alignment/>
    </xf>
    <xf numFmtId="0" fontId="0" fillId="0" borderId="19" xfId="0" applyFill="1" applyBorder="1" applyAlignment="1">
      <alignment horizontal="right" vertical="top"/>
    </xf>
    <xf numFmtId="0" fontId="1" fillId="0" borderId="12" xfId="0" applyFont="1" applyFill="1" applyBorder="1" applyAlignment="1">
      <alignment horizontal="left" vertical="center" wrapText="1"/>
    </xf>
    <xf numFmtId="0" fontId="0" fillId="0" borderId="20" xfId="0" applyFill="1" applyBorder="1" applyAlignment="1">
      <alignment horizontal="center"/>
    </xf>
    <xf numFmtId="2" fontId="1" fillId="0" borderId="12" xfId="0" applyNumberFormat="1" applyFont="1" applyFill="1" applyBorder="1" applyAlignment="1">
      <alignment horizontal="center"/>
    </xf>
    <xf numFmtId="0" fontId="1" fillId="0" borderId="24" xfId="0" applyFont="1" applyFill="1" applyBorder="1" applyAlignment="1">
      <alignment horizontal="center"/>
    </xf>
    <xf numFmtId="2" fontId="0" fillId="0" borderId="12" xfId="0" applyNumberFormat="1" applyFill="1" applyBorder="1" applyAlignment="1">
      <alignment horizontal="center"/>
    </xf>
    <xf numFmtId="2" fontId="0" fillId="0" borderId="20" xfId="0" applyNumberFormat="1" applyFill="1" applyBorder="1" applyAlignment="1">
      <alignment horizontal="center"/>
    </xf>
    <xf numFmtId="0" fontId="0" fillId="0" borderId="15" xfId="0" applyFill="1" applyBorder="1" applyAlignment="1">
      <alignment horizontal="center"/>
    </xf>
    <xf numFmtId="0" fontId="0" fillId="0" borderId="17" xfId="0" applyFill="1" applyBorder="1" applyAlignment="1">
      <alignment horizontal="center"/>
    </xf>
    <xf numFmtId="2" fontId="0" fillId="0" borderId="16" xfId="0" applyNumberFormat="1" applyFill="1" applyBorder="1" applyAlignment="1">
      <alignment horizontal="center"/>
    </xf>
    <xf numFmtId="2" fontId="0" fillId="0" borderId="15" xfId="0" applyNumberFormat="1" applyFill="1" applyBorder="1" applyAlignment="1">
      <alignment horizontal="center"/>
    </xf>
    <xf numFmtId="0" fontId="1" fillId="0" borderId="19" xfId="0" applyFont="1" applyFill="1" applyBorder="1" applyAlignment="1">
      <alignment horizontal="left" wrapText="1"/>
    </xf>
    <xf numFmtId="0" fontId="0" fillId="0" borderId="19" xfId="0" applyFill="1" applyBorder="1" applyAlignment="1">
      <alignment horizontal="center"/>
    </xf>
    <xf numFmtId="0" fontId="0" fillId="0" borderId="19" xfId="0" applyFont="1" applyFill="1" applyBorder="1" applyAlignment="1">
      <alignment horizontal="left" wrapText="1"/>
    </xf>
    <xf numFmtId="2" fontId="0" fillId="0" borderId="12" xfId="0" applyNumberFormat="1" applyFill="1" applyBorder="1" applyAlignment="1">
      <alignment horizontal="center" vertical="top"/>
    </xf>
    <xf numFmtId="2" fontId="0" fillId="0" borderId="20" xfId="0" applyNumberFormat="1" applyFill="1" applyBorder="1" applyAlignment="1">
      <alignment horizontal="center" vertical="top"/>
    </xf>
    <xf numFmtId="196" fontId="0" fillId="0" borderId="10" xfId="0" applyNumberFormat="1" applyFill="1" applyBorder="1" applyAlignment="1">
      <alignment horizontal="center" vertical="top"/>
    </xf>
    <xf numFmtId="2" fontId="0" fillId="0" borderId="13" xfId="0" applyNumberFormat="1" applyFill="1" applyBorder="1" applyAlignment="1">
      <alignment horizontal="center" vertical="top"/>
    </xf>
    <xf numFmtId="0" fontId="0" fillId="0" borderId="17" xfId="0" applyFont="1" applyFill="1" applyBorder="1" applyAlignment="1">
      <alignment horizontal="right" vertical="top" wrapText="1"/>
    </xf>
    <xf numFmtId="0" fontId="0" fillId="0" borderId="17" xfId="0" applyFill="1" applyBorder="1" applyAlignment="1">
      <alignment vertical="top" wrapText="1"/>
    </xf>
    <xf numFmtId="2" fontId="0" fillId="0" borderId="13" xfId="0" applyNumberFormat="1" applyFill="1" applyBorder="1" applyAlignment="1">
      <alignment horizontal="center"/>
    </xf>
    <xf numFmtId="0" fontId="0" fillId="0" borderId="12" xfId="0" applyNumberFormat="1" applyFont="1" applyFill="1" applyBorder="1" applyAlignment="1">
      <alignment horizontal="center"/>
    </xf>
    <xf numFmtId="0" fontId="0" fillId="0" borderId="10" xfId="0" applyFont="1" applyFill="1" applyBorder="1" applyAlignment="1">
      <alignment horizontal="center"/>
    </xf>
    <xf numFmtId="2" fontId="0" fillId="0" borderId="13" xfId="0" applyNumberFormat="1" applyFont="1" applyFill="1" applyBorder="1" applyAlignment="1">
      <alignment horizontal="center"/>
    </xf>
    <xf numFmtId="0" fontId="1" fillId="0" borderId="17" xfId="0" applyFont="1" applyFill="1" applyBorder="1" applyAlignment="1">
      <alignment horizontal="left" wrapText="1"/>
    </xf>
    <xf numFmtId="0" fontId="0" fillId="0" borderId="10" xfId="0" applyNumberFormat="1" applyFont="1" applyFill="1" applyBorder="1" applyAlignment="1">
      <alignment horizontal="center"/>
    </xf>
    <xf numFmtId="2" fontId="1" fillId="0" borderId="10" xfId="0" applyNumberFormat="1" applyFont="1" applyFill="1" applyBorder="1" applyAlignment="1">
      <alignment horizontal="center"/>
    </xf>
    <xf numFmtId="2" fontId="0" fillId="0" borderId="10" xfId="0" applyNumberFormat="1" applyFont="1" applyFill="1" applyBorder="1" applyAlignment="1">
      <alignment horizontal="center"/>
    </xf>
    <xf numFmtId="0" fontId="0" fillId="0" borderId="15" xfId="0" applyFont="1" applyFill="1" applyBorder="1" applyAlignment="1">
      <alignment vertical="top" wrapText="1"/>
    </xf>
    <xf numFmtId="0" fontId="0" fillId="0" borderId="15" xfId="0" applyFont="1" applyFill="1" applyBorder="1" applyAlignment="1">
      <alignment vertical="top" wrapText="1"/>
    </xf>
    <xf numFmtId="0" fontId="0" fillId="0" borderId="16" xfId="0" applyFont="1" applyFill="1" applyBorder="1" applyAlignment="1">
      <alignment vertical="top" wrapText="1"/>
    </xf>
    <xf numFmtId="0" fontId="0" fillId="0" borderId="17"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xf>
    <xf numFmtId="2" fontId="0" fillId="0" borderId="13" xfId="0" applyNumberFormat="1" applyFont="1" applyFill="1" applyBorder="1" applyAlignment="1">
      <alignment horizontal="center" vertical="center"/>
    </xf>
    <xf numFmtId="0" fontId="0" fillId="0" borderId="10" xfId="0" applyNumberFormat="1" applyFont="1" applyFill="1" applyBorder="1" applyAlignment="1">
      <alignment horizontal="center" vertical="top" wrapText="1"/>
    </xf>
    <xf numFmtId="0" fontId="0" fillId="0" borderId="10" xfId="0" applyFont="1" applyFill="1" applyBorder="1" applyAlignment="1">
      <alignment horizontal="center" vertical="top" wrapText="1"/>
    </xf>
    <xf numFmtId="2" fontId="0" fillId="0" borderId="13" xfId="0" applyNumberFormat="1" applyFont="1" applyFill="1" applyBorder="1" applyAlignment="1">
      <alignment horizontal="center" vertical="top"/>
    </xf>
    <xf numFmtId="2" fontId="0" fillId="0" borderId="10" xfId="0" applyNumberFormat="1" applyFont="1" applyFill="1" applyBorder="1" applyAlignment="1">
      <alignment horizontal="center" vertical="top"/>
    </xf>
    <xf numFmtId="0" fontId="1" fillId="0" borderId="10" xfId="0" applyNumberFormat="1" applyFont="1" applyFill="1" applyBorder="1" applyAlignment="1">
      <alignment horizontal="center"/>
    </xf>
    <xf numFmtId="0" fontId="1" fillId="0" borderId="10" xfId="0" applyFont="1" applyFill="1" applyBorder="1" applyAlignment="1">
      <alignment horizontal="center"/>
    </xf>
    <xf numFmtId="0" fontId="0" fillId="0" borderId="13" xfId="0" applyFill="1" applyBorder="1" applyAlignment="1">
      <alignment/>
    </xf>
    <xf numFmtId="49" fontId="0" fillId="0" borderId="10" xfId="0" applyNumberFormat="1" applyFont="1" applyFill="1" applyBorder="1" applyAlignment="1">
      <alignment vertical="center" wrapText="1"/>
    </xf>
    <xf numFmtId="0" fontId="0" fillId="0" borderId="15" xfId="0" applyNumberFormat="1" applyFont="1" applyFill="1" applyBorder="1" applyAlignment="1">
      <alignment vertical="center"/>
    </xf>
    <xf numFmtId="0" fontId="0" fillId="0" borderId="10" xfId="0" applyNumberFormat="1" applyFont="1" applyFill="1" applyBorder="1" applyAlignment="1">
      <alignment horizontal="center" vertical="center"/>
    </xf>
    <xf numFmtId="2" fontId="0" fillId="0" borderId="10" xfId="0" applyNumberFormat="1" applyFont="1" applyFill="1" applyBorder="1" applyAlignment="1">
      <alignment horizontal="center" vertical="center"/>
    </xf>
    <xf numFmtId="0" fontId="0" fillId="0" borderId="15" xfId="0" applyFill="1" applyBorder="1" applyAlignment="1">
      <alignment wrapText="1"/>
    </xf>
    <xf numFmtId="0" fontId="0" fillId="0" borderId="22" xfId="0" applyNumberFormat="1" applyFont="1" applyFill="1" applyBorder="1" applyAlignment="1">
      <alignment horizontal="center"/>
    </xf>
    <xf numFmtId="0" fontId="0" fillId="0" borderId="15" xfId="0" applyFont="1" applyFill="1" applyBorder="1" applyAlignment="1">
      <alignment horizontal="center"/>
    </xf>
    <xf numFmtId="0" fontId="0" fillId="0" borderId="13" xfId="0" applyFont="1" applyFill="1" applyBorder="1" applyAlignment="1">
      <alignment horizontal="center" vertical="center"/>
    </xf>
    <xf numFmtId="0" fontId="0" fillId="0" borderId="22" xfId="0" applyFont="1" applyFill="1" applyBorder="1" applyAlignment="1">
      <alignment horizontal="center"/>
    </xf>
    <xf numFmtId="0" fontId="0" fillId="0" borderId="10" xfId="0" applyNumberFormat="1" applyFont="1" applyFill="1" applyBorder="1" applyAlignment="1">
      <alignment horizontal="center"/>
    </xf>
    <xf numFmtId="0" fontId="0" fillId="0" borderId="10" xfId="0" applyFont="1" applyFill="1" applyBorder="1" applyAlignment="1">
      <alignment horizontal="center" vertical="top" wrapText="1"/>
    </xf>
    <xf numFmtId="0" fontId="0" fillId="0" borderId="12" xfId="0" applyFont="1" applyFill="1" applyBorder="1" applyAlignment="1">
      <alignment horizontal="left" wrapText="1"/>
    </xf>
    <xf numFmtId="0" fontId="0" fillId="0" borderId="22" xfId="0" applyFont="1" applyFill="1" applyBorder="1" applyAlignment="1">
      <alignment horizontal="center" vertical="center"/>
    </xf>
    <xf numFmtId="0" fontId="0" fillId="0" borderId="17" xfId="0" applyFont="1" applyFill="1" applyBorder="1" applyAlignment="1">
      <alignment horizontal="center" vertical="center" wrapText="1"/>
    </xf>
    <xf numFmtId="0" fontId="0" fillId="0" borderId="22" xfId="0" applyNumberFormat="1" applyFont="1" applyFill="1" applyBorder="1" applyAlignment="1">
      <alignment horizontal="center" vertical="center"/>
    </xf>
    <xf numFmtId="0" fontId="1" fillId="0" borderId="17" xfId="0" applyFont="1" applyFill="1" applyBorder="1" applyAlignment="1">
      <alignment horizontal="left" vertical="center" wrapText="1"/>
    </xf>
    <xf numFmtId="0" fontId="0" fillId="0" borderId="15" xfId="0" applyNumberFormat="1" applyFont="1" applyFill="1" applyBorder="1" applyAlignment="1">
      <alignment/>
    </xf>
    <xf numFmtId="0" fontId="0" fillId="0" borderId="10" xfId="0" applyNumberFormat="1" applyFont="1" applyFill="1" applyBorder="1" applyAlignment="1">
      <alignment/>
    </xf>
    <xf numFmtId="0" fontId="0" fillId="0" borderId="12" xfId="0" applyFill="1" applyBorder="1" applyAlignment="1">
      <alignment horizontal="center"/>
    </xf>
    <xf numFmtId="0" fontId="0" fillId="0" borderId="12" xfId="0" applyFill="1" applyBorder="1" applyAlignment="1">
      <alignment wrapText="1"/>
    </xf>
    <xf numFmtId="0" fontId="0" fillId="0" borderId="12" xfId="0" applyFont="1" applyFill="1" applyBorder="1" applyAlignment="1">
      <alignment horizontal="center"/>
    </xf>
    <xf numFmtId="2" fontId="0" fillId="0" borderId="12" xfId="0" applyNumberFormat="1" applyFont="1" applyFill="1" applyBorder="1" applyAlignment="1">
      <alignment horizontal="center"/>
    </xf>
    <xf numFmtId="0" fontId="0" fillId="0" borderId="20" xfId="0" applyFill="1" applyBorder="1" applyAlignment="1">
      <alignment horizontal="center" vertical="center" wrapText="1"/>
    </xf>
    <xf numFmtId="0" fontId="0" fillId="0" borderId="20" xfId="0" applyFill="1" applyBorder="1" applyAlignment="1">
      <alignment vertical="center" wrapText="1"/>
    </xf>
    <xf numFmtId="0" fontId="0" fillId="0" borderId="20" xfId="0" applyNumberFormat="1"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NumberFormat="1" applyFont="1" applyFill="1" applyBorder="1" applyAlignment="1">
      <alignment/>
    </xf>
    <xf numFmtId="0" fontId="0" fillId="0" borderId="17" xfId="0" applyNumberFormat="1" applyFont="1" applyFill="1" applyBorder="1" applyAlignment="1">
      <alignment/>
    </xf>
    <xf numFmtId="0" fontId="1" fillId="0" borderId="10" xfId="0" applyNumberFormat="1" applyFont="1" applyFill="1" applyBorder="1" applyAlignment="1">
      <alignment vertical="center" wrapText="1"/>
    </xf>
    <xf numFmtId="0" fontId="39" fillId="0" borderId="10" xfId="0" applyNumberFormat="1" applyFont="1" applyFill="1" applyBorder="1" applyAlignment="1">
      <alignment horizontal="center"/>
    </xf>
    <xf numFmtId="0" fontId="39" fillId="0" borderId="10" xfId="0" applyFont="1" applyFill="1" applyBorder="1" applyAlignment="1">
      <alignment horizontal="center"/>
    </xf>
    <xf numFmtId="0" fontId="0" fillId="0" borderId="10" xfId="0" applyFont="1" applyFill="1" applyBorder="1" applyAlignment="1">
      <alignment horizontal="center" wrapText="1"/>
    </xf>
    <xf numFmtId="0" fontId="39" fillId="0" borderId="18" xfId="0" applyNumberFormat="1" applyFont="1" applyFill="1" applyBorder="1" applyAlignment="1">
      <alignment horizontal="center"/>
    </xf>
    <xf numFmtId="0" fontId="39" fillId="0" borderId="18" xfId="0" applyFont="1" applyFill="1" applyBorder="1" applyAlignment="1">
      <alignment horizontal="center"/>
    </xf>
    <xf numFmtId="0" fontId="39" fillId="0" borderId="0" xfId="0" applyFont="1" applyFill="1" applyBorder="1" applyAlignment="1">
      <alignment horizontal="center"/>
    </xf>
    <xf numFmtId="2" fontId="22" fillId="0" borderId="10" xfId="0" applyNumberFormat="1" applyFont="1" applyFill="1" applyBorder="1" applyAlignment="1">
      <alignment horizontal="center" vertical="top"/>
    </xf>
    <xf numFmtId="0" fontId="39" fillId="0" borderId="10" xfId="0" applyFont="1" applyFill="1" applyBorder="1" applyAlignment="1">
      <alignment horizontal="center" wrapText="1"/>
    </xf>
    <xf numFmtId="0" fontId="39" fillId="0" borderId="10" xfId="0" applyFont="1" applyFill="1" applyBorder="1" applyAlignment="1">
      <alignment wrapText="1"/>
    </xf>
    <xf numFmtId="2" fontId="39" fillId="0" borderId="10" xfId="0" applyNumberFormat="1" applyFont="1" applyFill="1" applyBorder="1" applyAlignment="1">
      <alignment horizontal="center" vertical="top"/>
    </xf>
    <xf numFmtId="0" fontId="17" fillId="0" borderId="10" xfId="0" applyFont="1" applyFill="1" applyBorder="1" applyAlignment="1">
      <alignment/>
    </xf>
    <xf numFmtId="0" fontId="17" fillId="0" borderId="10" xfId="0" applyFont="1" applyFill="1" applyBorder="1" applyAlignment="1">
      <alignment horizontal="left" vertical="top" wrapText="1"/>
    </xf>
    <xf numFmtId="0" fontId="17" fillId="0" borderId="10" xfId="0" applyFont="1" applyFill="1" applyBorder="1" applyAlignment="1">
      <alignment horizontal="center" vertical="top" wrapText="1"/>
    </xf>
    <xf numFmtId="2" fontId="17" fillId="0" borderId="10" xfId="0" applyNumberFormat="1" applyFont="1" applyFill="1" applyBorder="1" applyAlignment="1">
      <alignment horizontal="center" vertical="top" wrapText="1"/>
    </xf>
    <xf numFmtId="196" fontId="17" fillId="0" borderId="10" xfId="0" applyNumberFormat="1" applyFont="1" applyFill="1" applyBorder="1" applyAlignment="1">
      <alignment horizontal="center" vertical="top" wrapText="1"/>
    </xf>
    <xf numFmtId="0" fontId="17" fillId="0" borderId="0" xfId="0" applyFont="1" applyFill="1" applyAlignment="1">
      <alignment vertical="center" wrapText="1"/>
    </xf>
    <xf numFmtId="0" fontId="17" fillId="0" borderId="10" xfId="0" applyFont="1" applyFill="1" applyBorder="1" applyAlignment="1">
      <alignment vertical="center"/>
    </xf>
    <xf numFmtId="0" fontId="17" fillId="0" borderId="10" xfId="0" applyFont="1" applyFill="1" applyBorder="1" applyAlignment="1">
      <alignment horizontal="left" vertical="center" wrapText="1"/>
    </xf>
    <xf numFmtId="0" fontId="17" fillId="0" borderId="10" xfId="0" applyNumberFormat="1" applyFont="1" applyFill="1" applyBorder="1" applyAlignment="1">
      <alignment horizontal="center" vertical="center" wrapText="1"/>
    </xf>
    <xf numFmtId="0" fontId="17" fillId="0" borderId="10" xfId="0" applyFont="1" applyFill="1" applyBorder="1" applyAlignment="1">
      <alignment horizontal="center" vertical="center"/>
    </xf>
    <xf numFmtId="2" fontId="17" fillId="0" borderId="10" xfId="0" applyNumberFormat="1" applyFont="1" applyFill="1" applyBorder="1" applyAlignment="1">
      <alignment horizontal="center" vertical="center" wrapText="1"/>
    </xf>
    <xf numFmtId="0" fontId="17" fillId="0" borderId="15" xfId="0" applyFont="1" applyFill="1" applyBorder="1" applyAlignment="1">
      <alignment vertical="top" wrapText="1"/>
    </xf>
    <xf numFmtId="1" fontId="17" fillId="0" borderId="10" xfId="0" applyNumberFormat="1" applyFont="1" applyFill="1" applyBorder="1" applyAlignment="1">
      <alignment horizontal="center" vertical="top" wrapText="1"/>
    </xf>
    <xf numFmtId="0" fontId="17" fillId="0" borderId="10" xfId="0" applyFont="1" applyFill="1" applyBorder="1" applyAlignment="1">
      <alignment horizontal="left"/>
    </xf>
    <xf numFmtId="0" fontId="2" fillId="0" borderId="15" xfId="0" applyFont="1" applyFill="1" applyBorder="1" applyAlignment="1">
      <alignment horizontal="left"/>
    </xf>
    <xf numFmtId="2" fontId="17" fillId="0" borderId="10" xfId="0" applyNumberFormat="1" applyFont="1" applyFill="1" applyBorder="1" applyAlignment="1">
      <alignment horizontal="center"/>
    </xf>
    <xf numFmtId="0" fontId="17" fillId="0" borderId="10" xfId="0" applyFont="1" applyFill="1" applyBorder="1" applyAlignment="1">
      <alignment horizontal="center"/>
    </xf>
    <xf numFmtId="0" fontId="17" fillId="0" borderId="10" xfId="0" applyFont="1" applyFill="1" applyBorder="1" applyAlignment="1">
      <alignment horizontal="left" vertical="center"/>
    </xf>
    <xf numFmtId="0" fontId="2" fillId="0" borderId="10" xfId="0" applyFont="1" applyFill="1" applyBorder="1" applyAlignment="1">
      <alignment horizontal="left" vertical="top" wrapText="1"/>
    </xf>
    <xf numFmtId="2" fontId="2" fillId="0" borderId="10" xfId="0" applyNumberFormat="1" applyFont="1" applyFill="1" applyBorder="1" applyAlignment="1">
      <alignment horizontal="center" vertical="top" wrapText="1"/>
    </xf>
    <xf numFmtId="0" fontId="2" fillId="0" borderId="10" xfId="0" applyFont="1" applyFill="1" applyBorder="1" applyAlignment="1">
      <alignment horizontal="center" vertical="top" wrapText="1"/>
    </xf>
    <xf numFmtId="0" fontId="17" fillId="0" borderId="10" xfId="0" applyFont="1" applyFill="1" applyBorder="1" applyAlignment="1">
      <alignment vertical="top" wrapText="1"/>
    </xf>
    <xf numFmtId="0" fontId="17" fillId="0" borderId="13" xfId="0" applyNumberFormat="1" applyFont="1" applyFill="1" applyBorder="1" applyAlignment="1">
      <alignment horizontal="center" vertical="center"/>
    </xf>
    <xf numFmtId="0" fontId="17" fillId="0" borderId="10" xfId="0" applyFont="1" applyFill="1" applyBorder="1" applyAlignment="1">
      <alignment vertical="top"/>
    </xf>
    <xf numFmtId="49" fontId="17" fillId="0" borderId="10" xfId="0" applyNumberFormat="1" applyFont="1" applyFill="1" applyBorder="1" applyAlignment="1">
      <alignment horizontal="center" vertical="center" wrapText="1"/>
    </xf>
    <xf numFmtId="0" fontId="2" fillId="0" borderId="10" xfId="0" applyFont="1" applyFill="1" applyBorder="1" applyAlignment="1">
      <alignment horizontal="left"/>
    </xf>
    <xf numFmtId="1" fontId="17" fillId="0" borderId="15" xfId="0" applyNumberFormat="1" applyFont="1" applyFill="1" applyBorder="1" applyAlignment="1">
      <alignment vertical="top" wrapText="1"/>
    </xf>
    <xf numFmtId="1" fontId="17" fillId="0" borderId="16" xfId="0" applyNumberFormat="1" applyFont="1" applyFill="1" applyBorder="1" applyAlignment="1">
      <alignment vertical="top" wrapText="1"/>
    </xf>
    <xf numFmtId="1" fontId="17" fillId="0" borderId="17" xfId="0" applyNumberFormat="1" applyFont="1" applyFill="1" applyBorder="1" applyAlignment="1">
      <alignment vertical="top" wrapText="1"/>
    </xf>
    <xf numFmtId="0" fontId="17" fillId="0" borderId="12" xfId="0" applyFont="1" applyFill="1" applyBorder="1" applyAlignment="1">
      <alignment horizontal="center" vertical="top"/>
    </xf>
    <xf numFmtId="0" fontId="2" fillId="0" borderId="10" xfId="0" applyFont="1" applyFill="1" applyBorder="1" applyAlignment="1">
      <alignment horizontal="left" vertical="center" wrapText="1"/>
    </xf>
    <xf numFmtId="2"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1" fontId="17" fillId="0" borderId="10" xfId="0" applyNumberFormat="1" applyFont="1" applyFill="1" applyBorder="1" applyAlignment="1">
      <alignment horizontal="center" vertical="center" wrapText="1"/>
    </xf>
    <xf numFmtId="2" fontId="17" fillId="0" borderId="10" xfId="0" applyNumberFormat="1" applyFont="1" applyFill="1" applyBorder="1" applyAlignment="1">
      <alignment horizontal="center" vertical="center"/>
    </xf>
    <xf numFmtId="0" fontId="2" fillId="0" borderId="10" xfId="0" applyFont="1" applyFill="1" applyBorder="1" applyAlignment="1">
      <alignment horizontal="center" vertical="top"/>
    </xf>
    <xf numFmtId="0" fontId="2" fillId="0" borderId="10" xfId="0" applyFont="1" applyFill="1" applyBorder="1" applyAlignment="1">
      <alignment/>
    </xf>
    <xf numFmtId="0" fontId="2" fillId="0" borderId="10" xfId="0" applyNumberFormat="1" applyFont="1" applyFill="1" applyBorder="1" applyAlignment="1">
      <alignment vertical="center" wrapText="1"/>
    </xf>
    <xf numFmtId="0" fontId="2" fillId="0" borderId="10" xfId="0" applyFont="1" applyFill="1" applyBorder="1" applyAlignment="1">
      <alignment vertical="top"/>
    </xf>
    <xf numFmtId="0" fontId="2" fillId="0" borderId="17" xfId="0" applyFont="1" applyFill="1" applyBorder="1" applyAlignment="1">
      <alignment horizontal="center" vertical="top"/>
    </xf>
    <xf numFmtId="0" fontId="17" fillId="0" borderId="12" xfId="0" applyFont="1" applyFill="1" applyBorder="1" applyAlignment="1">
      <alignment horizontal="center"/>
    </xf>
    <xf numFmtId="0" fontId="17" fillId="0" borderId="15" xfId="0" applyFont="1" applyFill="1" applyBorder="1" applyAlignment="1">
      <alignment vertical="top"/>
    </xf>
    <xf numFmtId="0" fontId="17" fillId="0" borderId="16" xfId="0" applyFont="1" applyFill="1" applyBorder="1" applyAlignment="1">
      <alignment vertical="top"/>
    </xf>
    <xf numFmtId="2" fontId="17" fillId="0" borderId="10" xfId="0" applyNumberFormat="1" applyFont="1" applyFill="1" applyBorder="1" applyAlignment="1">
      <alignment horizontal="center" vertical="top"/>
    </xf>
    <xf numFmtId="10" fontId="17" fillId="0" borderId="10" xfId="0" applyNumberFormat="1" applyFont="1" applyFill="1" applyBorder="1" applyAlignment="1">
      <alignment horizontal="center" vertical="top"/>
    </xf>
    <xf numFmtId="0" fontId="17" fillId="0" borderId="17" xfId="0" applyFont="1" applyFill="1" applyBorder="1" applyAlignment="1">
      <alignment horizontal="center" vertical="top"/>
    </xf>
    <xf numFmtId="0" fontId="17" fillId="0" borderId="13" xfId="0" applyFont="1" applyFill="1" applyBorder="1" applyAlignment="1">
      <alignment horizontal="left"/>
    </xf>
    <xf numFmtId="10" fontId="17" fillId="0" borderId="23" xfId="0" applyNumberFormat="1" applyFont="1" applyFill="1" applyBorder="1" applyAlignment="1">
      <alignment horizontal="center" vertical="top"/>
    </xf>
    <xf numFmtId="0" fontId="17" fillId="0" borderId="15" xfId="0" applyFont="1" applyFill="1" applyBorder="1" applyAlignment="1">
      <alignment horizontal="left" vertical="center"/>
    </xf>
    <xf numFmtId="2" fontId="17" fillId="0" borderId="10" xfId="0" applyNumberFormat="1" applyFont="1" applyFill="1" applyBorder="1" applyAlignment="1">
      <alignment vertical="center"/>
    </xf>
    <xf numFmtId="0" fontId="17" fillId="0" borderId="17" xfId="0" applyFont="1" applyFill="1" applyBorder="1" applyAlignment="1">
      <alignment horizontal="center" vertical="center"/>
    </xf>
    <xf numFmtId="0" fontId="17" fillId="0" borderId="17" xfId="0" applyFont="1" applyFill="1" applyBorder="1" applyAlignment="1">
      <alignment horizontal="center" vertical="top" wrapText="1"/>
    </xf>
    <xf numFmtId="2" fontId="17" fillId="0" borderId="10" xfId="0" applyNumberFormat="1" applyFont="1" applyFill="1" applyBorder="1" applyAlignment="1">
      <alignment vertical="top"/>
    </xf>
    <xf numFmtId="0" fontId="2" fillId="0" borderId="10" xfId="0" applyFont="1" applyFill="1" applyBorder="1" applyAlignment="1">
      <alignment vertical="center"/>
    </xf>
    <xf numFmtId="0" fontId="2" fillId="0" borderId="10" xfId="0" applyFont="1" applyFill="1" applyBorder="1" applyAlignment="1">
      <alignment horizontal="left" vertical="center"/>
    </xf>
    <xf numFmtId="2"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17" fillId="0" borderId="12" xfId="0" applyFont="1" applyFill="1" applyBorder="1" applyAlignment="1">
      <alignment horizontal="center" vertical="center"/>
    </xf>
    <xf numFmtId="0" fontId="17" fillId="0" borderId="15" xfId="0" applyFont="1" applyFill="1" applyBorder="1" applyAlignment="1">
      <alignment vertical="center"/>
    </xf>
    <xf numFmtId="0" fontId="17" fillId="0" borderId="16" xfId="0" applyFont="1" applyFill="1" applyBorder="1" applyAlignment="1">
      <alignment vertical="center"/>
    </xf>
    <xf numFmtId="10" fontId="17" fillId="0" borderId="10" xfId="0" applyNumberFormat="1" applyFont="1" applyFill="1" applyBorder="1" applyAlignment="1">
      <alignment horizontal="center" vertical="center"/>
    </xf>
    <xf numFmtId="2" fontId="17" fillId="0" borderId="16" xfId="0" applyNumberFormat="1" applyFont="1" applyFill="1" applyBorder="1" applyAlignment="1">
      <alignment horizontal="center" vertical="center"/>
    </xf>
    <xf numFmtId="2" fontId="17" fillId="0" borderId="10" xfId="0" applyNumberFormat="1" applyFont="1" applyFill="1" applyBorder="1" applyAlignment="1">
      <alignment vertical="center" wrapText="1"/>
    </xf>
    <xf numFmtId="0" fontId="2" fillId="0" borderId="12" xfId="0" applyFont="1" applyFill="1" applyBorder="1" applyAlignment="1">
      <alignment horizontal="left" vertical="center" wrapText="1"/>
    </xf>
    <xf numFmtId="0" fontId="2" fillId="0" borderId="12" xfId="0" applyFont="1" applyFill="1" applyBorder="1" applyAlignment="1">
      <alignment vertical="center"/>
    </xf>
    <xf numFmtId="0" fontId="1" fillId="0" borderId="10" xfId="0" applyFont="1" applyFill="1" applyBorder="1" applyAlignment="1">
      <alignment horizontal="left" vertical="top"/>
    </xf>
    <xf numFmtId="0" fontId="0" fillId="0" borderId="10" xfId="0" applyNumberFormat="1" applyFill="1" applyBorder="1" applyAlignment="1">
      <alignment horizontal="left" vertical="top"/>
    </xf>
    <xf numFmtId="2" fontId="1" fillId="0" borderId="10" xfId="0" applyNumberFormat="1" applyFont="1" applyFill="1" applyBorder="1" applyAlignment="1">
      <alignment horizontal="center" vertical="top"/>
    </xf>
    <xf numFmtId="2" fontId="0" fillId="0" borderId="10" xfId="0" applyNumberFormat="1" applyFill="1" applyBorder="1" applyAlignment="1">
      <alignment vertical="top"/>
    </xf>
    <xf numFmtId="0" fontId="0" fillId="0" borderId="10" xfId="0" applyNumberFormat="1" applyFont="1" applyFill="1" applyBorder="1" applyAlignment="1">
      <alignment horizontal="center" vertical="top" wrapText="1"/>
    </xf>
    <xf numFmtId="49" fontId="0" fillId="0" borderId="10" xfId="0" applyNumberFormat="1" applyFont="1" applyFill="1" applyBorder="1" applyAlignment="1">
      <alignment horizontal="center" vertical="top" wrapText="1"/>
    </xf>
    <xf numFmtId="0" fontId="1" fillId="0" borderId="10" xfId="0" applyFont="1" applyFill="1" applyBorder="1" applyAlignment="1">
      <alignment horizontal="left"/>
    </xf>
    <xf numFmtId="0" fontId="0" fillId="0" borderId="10" xfId="0" applyFont="1" applyFill="1" applyBorder="1" applyAlignment="1">
      <alignment horizontal="left"/>
    </xf>
    <xf numFmtId="0" fontId="0" fillId="0" borderId="15" xfId="0" applyNumberFormat="1" applyFill="1" applyBorder="1" applyAlignment="1">
      <alignment vertical="center"/>
    </xf>
    <xf numFmtId="0" fontId="0" fillId="0" borderId="16" xfId="0" applyNumberFormat="1" applyFill="1" applyBorder="1" applyAlignment="1">
      <alignment vertical="center"/>
    </xf>
    <xf numFmtId="0" fontId="0" fillId="0" borderId="17" xfId="0" applyNumberFormat="1" applyFill="1" applyBorder="1" applyAlignment="1">
      <alignment vertical="center"/>
    </xf>
    <xf numFmtId="0" fontId="0" fillId="0" borderId="10" xfId="0" applyFill="1" applyBorder="1" applyAlignment="1">
      <alignment horizontal="left"/>
    </xf>
    <xf numFmtId="0" fontId="0" fillId="0" borderId="17" xfId="0" applyNumberFormat="1" applyFill="1" applyBorder="1" applyAlignment="1">
      <alignment horizontal="left"/>
    </xf>
    <xf numFmtId="0" fontId="0" fillId="0" borderId="17" xfId="0" applyNumberFormat="1" applyFill="1" applyBorder="1" applyAlignment="1">
      <alignment horizontal="left" vertical="center"/>
    </xf>
    <xf numFmtId="0" fontId="0" fillId="0" borderId="17" xfId="0" applyFill="1" applyBorder="1" applyAlignment="1">
      <alignment horizontal="center" vertical="center"/>
    </xf>
    <xf numFmtId="0" fontId="39" fillId="0" borderId="10" xfId="0" applyFont="1" applyFill="1" applyBorder="1" applyAlignment="1">
      <alignment vertical="center"/>
    </xf>
    <xf numFmtId="0" fontId="39" fillId="0" borderId="10" xfId="0" applyFont="1" applyFill="1" applyBorder="1" applyAlignment="1">
      <alignment horizontal="left" vertical="center"/>
    </xf>
    <xf numFmtId="0" fontId="22" fillId="0" borderId="10" xfId="0" applyNumberFormat="1" applyFont="1" applyFill="1" applyBorder="1" applyAlignment="1">
      <alignment horizontal="left" vertical="center"/>
    </xf>
    <xf numFmtId="0" fontId="0" fillId="0" borderId="10" xfId="0" applyFont="1" applyFill="1" applyBorder="1" applyAlignment="1">
      <alignment horizontal="center"/>
    </xf>
    <xf numFmtId="0" fontId="0" fillId="0" borderId="10" xfId="0" applyFont="1" applyFill="1" applyBorder="1" applyAlignment="1" quotePrefix="1">
      <alignment horizontal="center" vertical="center"/>
    </xf>
    <xf numFmtId="0" fontId="1" fillId="0" borderId="10" xfId="0" applyFont="1" applyFill="1" applyBorder="1" applyAlignment="1">
      <alignment vertical="top" wrapText="1"/>
    </xf>
    <xf numFmtId="2" fontId="0" fillId="0" borderId="10" xfId="0" applyNumberFormat="1" applyFont="1" applyFill="1" applyBorder="1" applyAlignment="1" quotePrefix="1">
      <alignment horizontal="center" vertical="center"/>
    </xf>
    <xf numFmtId="0" fontId="0" fillId="0" borderId="12" xfId="0" applyFont="1" applyFill="1" applyBorder="1" applyAlignment="1">
      <alignment horizontal="left" vertical="center"/>
    </xf>
    <xf numFmtId="0" fontId="0" fillId="0" borderId="15" xfId="0" applyFont="1" applyFill="1" applyBorder="1" applyAlignment="1">
      <alignment horizontal="left"/>
    </xf>
    <xf numFmtId="0" fontId="0" fillId="0" borderId="16" xfId="0" applyFont="1" applyFill="1" applyBorder="1" applyAlignment="1">
      <alignment horizontal="center" vertical="center"/>
    </xf>
    <xf numFmtId="0" fontId="0" fillId="0" borderId="13" xfId="0" applyFont="1" applyFill="1" applyBorder="1" applyAlignment="1">
      <alignment horizontal="center"/>
    </xf>
    <xf numFmtId="0" fontId="1" fillId="0" borderId="15" xfId="0" applyFont="1" applyFill="1" applyBorder="1" applyAlignment="1">
      <alignment horizontal="left"/>
    </xf>
    <xf numFmtId="0" fontId="0" fillId="0" borderId="10" xfId="0" applyFont="1" applyFill="1" applyBorder="1" applyAlignment="1">
      <alignment vertical="center"/>
    </xf>
    <xf numFmtId="0" fontId="1"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43" fillId="0" borderId="10" xfId="0" applyNumberFormat="1" applyFont="1" applyFill="1" applyBorder="1" applyAlignment="1">
      <alignment horizontal="center" vertical="center" wrapText="1"/>
    </xf>
    <xf numFmtId="0" fontId="43" fillId="0" borderId="10" xfId="0" applyFont="1" applyFill="1" applyBorder="1" applyAlignment="1">
      <alignment horizontal="center" vertical="center"/>
    </xf>
    <xf numFmtId="2" fontId="43" fillId="0" borderId="10" xfId="0" applyNumberFormat="1" applyFont="1" applyFill="1" applyBorder="1" applyAlignment="1">
      <alignment horizontal="center" vertical="center"/>
    </xf>
    <xf numFmtId="0" fontId="43" fillId="0" borderId="10" xfId="0" applyFont="1" applyFill="1" applyBorder="1" applyAlignment="1" quotePrefix="1">
      <alignment horizontal="center" vertical="center"/>
    </xf>
    <xf numFmtId="0" fontId="0" fillId="0" borderId="10" xfId="0" applyFont="1" applyFill="1" applyBorder="1" applyAlignment="1">
      <alignment horizontal="center" vertical="top"/>
    </xf>
    <xf numFmtId="2" fontId="0" fillId="0" borderId="0" xfId="0" applyNumberFormat="1" applyFont="1" applyFill="1" applyAlignment="1">
      <alignment horizontal="center" vertical="center"/>
    </xf>
    <xf numFmtId="2" fontId="0" fillId="0" borderId="13" xfId="0" applyNumberFormat="1" applyFont="1" applyFill="1" applyBorder="1" applyAlignment="1" quotePrefix="1">
      <alignment horizontal="center" vertical="center"/>
    </xf>
    <xf numFmtId="0" fontId="39" fillId="0" borderId="10" xfId="0" applyNumberFormat="1" applyFont="1" applyFill="1" applyBorder="1" applyAlignment="1" quotePrefix="1">
      <alignment horizontal="center" vertical="center"/>
    </xf>
    <xf numFmtId="0" fontId="1" fillId="0" borderId="15" xfId="0" applyFont="1" applyFill="1" applyBorder="1" applyAlignment="1">
      <alignment/>
    </xf>
    <xf numFmtId="0" fontId="1" fillId="0" borderId="16" xfId="0" applyFont="1" applyFill="1" applyBorder="1" applyAlignment="1">
      <alignment/>
    </xf>
    <xf numFmtId="0" fontId="1" fillId="0" borderId="17" xfId="0" applyFont="1" applyFill="1" applyBorder="1" applyAlignment="1">
      <alignment/>
    </xf>
    <xf numFmtId="0" fontId="1" fillId="0" borderId="15" xfId="0" applyFont="1" applyFill="1" applyBorder="1" applyAlignment="1">
      <alignment horizontal="left" vertical="center"/>
    </xf>
    <xf numFmtId="0" fontId="1" fillId="0" borderId="10" xfId="0" applyFont="1" applyFill="1" applyBorder="1" applyAlignment="1">
      <alignment horizontal="left" vertical="center"/>
    </xf>
    <xf numFmtId="0" fontId="1" fillId="0" borderId="15" xfId="0" applyNumberFormat="1" applyFont="1" applyFill="1" applyBorder="1" applyAlignment="1">
      <alignment vertical="center"/>
    </xf>
    <xf numFmtId="0" fontId="1" fillId="0" borderId="16" xfId="0" applyNumberFormat="1" applyFont="1" applyFill="1" applyBorder="1" applyAlignment="1">
      <alignment vertical="center"/>
    </xf>
    <xf numFmtId="0" fontId="1" fillId="0" borderId="17" xfId="0" applyNumberFormat="1" applyFont="1" applyFill="1" applyBorder="1" applyAlignment="1">
      <alignment vertical="center"/>
    </xf>
    <xf numFmtId="49" fontId="0" fillId="0" borderId="15" xfId="0" applyNumberFormat="1" applyFill="1" applyBorder="1" applyAlignment="1">
      <alignment vertical="center" wrapText="1"/>
    </xf>
    <xf numFmtId="0" fontId="0" fillId="0" borderId="15" xfId="0" applyFont="1" applyFill="1" applyBorder="1" applyAlignment="1">
      <alignment vertical="center" wrapText="1"/>
    </xf>
    <xf numFmtId="0" fontId="0" fillId="0" borderId="10" xfId="0" applyFont="1" applyFill="1" applyBorder="1" applyAlignment="1" quotePrefix="1">
      <alignment horizontal="center" vertical="top"/>
    </xf>
    <xf numFmtId="0" fontId="1" fillId="0" borderId="10" xfId="0" applyFont="1" applyFill="1" applyBorder="1" applyAlignment="1" quotePrefix="1">
      <alignment horizontal="center" vertical="top"/>
    </xf>
    <xf numFmtId="0" fontId="39" fillId="0" borderId="10" xfId="0" applyFont="1" applyFill="1" applyBorder="1" applyAlignment="1" quotePrefix="1">
      <alignment horizontal="center" vertical="top"/>
    </xf>
    <xf numFmtId="0" fontId="39" fillId="0" borderId="10" xfId="0" applyNumberFormat="1" applyFont="1" applyFill="1" applyBorder="1" applyAlignment="1">
      <alignment horizontal="center" vertical="center"/>
    </xf>
    <xf numFmtId="194" fontId="5" fillId="0" borderId="0" xfId="0" applyNumberFormat="1" applyFont="1" applyFill="1" applyAlignment="1">
      <alignment horizontal="center" wrapText="1"/>
    </xf>
    <xf numFmtId="4" fontId="6" fillId="0" borderId="0" xfId="0" applyNumberFormat="1"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1" fontId="6" fillId="0" borderId="0" xfId="0" applyNumberFormat="1" applyFont="1" applyFill="1" applyBorder="1" applyAlignment="1" applyProtection="1">
      <alignment vertical="center" wrapText="1"/>
      <protection/>
    </xf>
    <xf numFmtId="0" fontId="6" fillId="0" borderId="0" xfId="0" applyFont="1" applyFill="1" applyBorder="1" applyAlignment="1" applyProtection="1">
      <alignment horizontal="center" vertical="center" wrapText="1"/>
      <protection/>
    </xf>
    <xf numFmtId="1" fontId="10" fillId="0" borderId="0" xfId="0" applyNumberFormat="1" applyFont="1" applyFill="1" applyBorder="1" applyAlignment="1">
      <alignment horizontal="center" vertical="center" wrapText="1"/>
    </xf>
    <xf numFmtId="196" fontId="17" fillId="0" borderId="0" xfId="61" applyNumberFormat="1" applyFont="1" applyFill="1" applyBorder="1" applyAlignment="1">
      <alignment horizontal="center" vertical="center" wrapText="1"/>
      <protection/>
    </xf>
    <xf numFmtId="2" fontId="17" fillId="0" borderId="0" xfId="61" applyNumberFormat="1" applyFont="1" applyFill="1" applyBorder="1" applyAlignment="1">
      <alignment horizontal="center" vertical="center" wrapText="1"/>
      <protection/>
    </xf>
    <xf numFmtId="0" fontId="17" fillId="0" borderId="0" xfId="61" applyNumberFormat="1" applyFont="1" applyFill="1" applyBorder="1" applyAlignment="1">
      <alignment vertical="center" wrapText="1"/>
      <protection/>
    </xf>
    <xf numFmtId="0" fontId="17" fillId="0" borderId="15"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2" fontId="12" fillId="0" borderId="0" xfId="0" applyNumberFormat="1" applyFont="1" applyFill="1" applyBorder="1" applyAlignment="1">
      <alignment horizontal="center" vertical="center" wrapText="1"/>
    </xf>
    <xf numFmtId="2" fontId="0" fillId="0" borderId="0" xfId="0" applyNumberFormat="1" applyFill="1" applyBorder="1" applyAlignment="1">
      <alignment horizontal="center" vertical="center" wrapText="1"/>
    </xf>
    <xf numFmtId="0" fontId="0" fillId="0" borderId="0" xfId="0" applyFill="1" applyBorder="1" applyAlignment="1">
      <alignment horizontal="center" vertical="center" wrapText="1"/>
    </xf>
    <xf numFmtId="1" fontId="0" fillId="0" borderId="0" xfId="0" applyNumberFormat="1" applyFill="1" applyBorder="1" applyAlignment="1">
      <alignment vertical="center" wrapText="1"/>
    </xf>
    <xf numFmtId="0" fontId="0" fillId="0" borderId="15" xfId="0" applyNumberFormat="1" applyFont="1" applyFill="1" applyBorder="1" applyAlignment="1">
      <alignment horizontal="center" vertical="center" wrapText="1"/>
    </xf>
    <xf numFmtId="1" fontId="0" fillId="0" borderId="10" xfId="0" applyNumberFormat="1" applyFill="1" applyBorder="1" applyAlignment="1">
      <alignment vertical="center" wrapText="1"/>
    </xf>
    <xf numFmtId="1" fontId="6" fillId="0" borderId="0" xfId="0" applyNumberFormat="1" applyFont="1" applyFill="1" applyBorder="1" applyAlignment="1">
      <alignment horizontal="center" vertical="center" wrapText="1"/>
    </xf>
    <xf numFmtId="2" fontId="6"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0" fillId="32" borderId="10" xfId="0" applyFont="1" applyFill="1" applyBorder="1" applyAlignment="1">
      <alignment horizontal="left" vertical="top" wrapText="1"/>
    </xf>
    <xf numFmtId="0" fontId="62" fillId="32" borderId="14" xfId="0" applyFont="1" applyFill="1" applyBorder="1" applyAlignment="1">
      <alignment vertical="center" wrapText="1"/>
    </xf>
    <xf numFmtId="1" fontId="0" fillId="0" borderId="0" xfId="0" applyNumberFormat="1" applyFill="1" applyBorder="1" applyAlignment="1">
      <alignment horizontal="center" vertical="center"/>
    </xf>
    <xf numFmtId="0" fontId="0" fillId="0" borderId="0" xfId="0" applyFill="1" applyBorder="1" applyAlignment="1">
      <alignment horizontal="center" vertical="center"/>
    </xf>
    <xf numFmtId="2" fontId="2" fillId="0" borderId="0" xfId="0" applyNumberFormat="1" applyFont="1" applyFill="1" applyBorder="1" applyAlignment="1">
      <alignment horizontal="center"/>
    </xf>
    <xf numFmtId="2" fontId="32" fillId="0" borderId="0" xfId="0" applyNumberFormat="1" applyFont="1" applyFill="1" applyBorder="1" applyAlignment="1">
      <alignment horizontal="center" vertical="center" wrapText="1"/>
    </xf>
    <xf numFmtId="1" fontId="17" fillId="0" borderId="0" xfId="0" applyNumberFormat="1" applyFont="1" applyFill="1" applyBorder="1" applyAlignment="1">
      <alignment horizontal="center" vertical="center" wrapText="1"/>
    </xf>
    <xf numFmtId="0" fontId="17" fillId="32" borderId="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17" fillId="32" borderId="14" xfId="0" applyFont="1" applyFill="1" applyBorder="1" applyAlignment="1">
      <alignment horizontal="left" vertical="center"/>
    </xf>
    <xf numFmtId="0" fontId="0" fillId="32" borderId="0" xfId="0" applyFont="1" applyFill="1" applyAlignment="1">
      <alignment vertical="center"/>
    </xf>
    <xf numFmtId="0" fontId="22" fillId="0" borderId="0" xfId="0" applyFont="1" applyFill="1" applyBorder="1" applyAlignment="1">
      <alignment vertical="center"/>
    </xf>
    <xf numFmtId="2" fontId="0" fillId="0" borderId="0" xfId="0" applyNumberFormat="1" applyFill="1" applyBorder="1" applyAlignment="1">
      <alignment horizontal="left" vertical="top" wrapText="1"/>
    </xf>
    <xf numFmtId="0" fontId="71" fillId="0" borderId="0" xfId="0" applyFont="1" applyFill="1" applyBorder="1" applyAlignment="1">
      <alignment vertical="center" wrapText="1"/>
    </xf>
    <xf numFmtId="0" fontId="11" fillId="0" borderId="0" xfId="0" applyFont="1" applyFill="1" applyAlignment="1">
      <alignment vertical="center" wrapText="1"/>
    </xf>
    <xf numFmtId="0" fontId="11" fillId="0" borderId="12" xfId="0" applyFont="1" applyFill="1" applyBorder="1" applyAlignment="1">
      <alignment horizontal="center" vertical="top" wrapText="1"/>
    </xf>
    <xf numFmtId="0" fontId="11" fillId="0" borderId="19" xfId="0" applyFont="1" applyFill="1" applyBorder="1" applyAlignment="1">
      <alignment horizontal="center" vertical="top" wrapText="1"/>
    </xf>
    <xf numFmtId="0" fontId="5" fillId="0" borderId="14" xfId="0" applyFont="1" applyFill="1" applyBorder="1" applyAlignment="1">
      <alignment horizontal="center" vertical="top" wrapText="1"/>
    </xf>
    <xf numFmtId="0" fontId="11" fillId="0" borderId="10" xfId="0" applyFont="1" applyFill="1" applyBorder="1" applyAlignment="1">
      <alignment horizontal="center" vertical="top" wrapText="1"/>
    </xf>
    <xf numFmtId="0" fontId="11" fillId="0" borderId="13" xfId="0" applyFont="1" applyFill="1" applyBorder="1" applyAlignment="1">
      <alignment horizontal="center" vertical="top" wrapText="1"/>
    </xf>
    <xf numFmtId="0" fontId="11" fillId="0" borderId="15" xfId="0" applyFont="1" applyFill="1" applyBorder="1" applyAlignment="1">
      <alignment horizontal="left" vertical="top" wrapText="1"/>
    </xf>
    <xf numFmtId="0" fontId="11" fillId="0" borderId="16" xfId="0" applyFont="1" applyFill="1" applyBorder="1" applyAlignment="1">
      <alignment horizontal="left" vertical="top" wrapText="1"/>
    </xf>
    <xf numFmtId="0" fontId="11" fillId="0" borderId="12" xfId="0" applyFont="1" applyFill="1" applyBorder="1" applyAlignment="1" quotePrefix="1">
      <alignment horizontal="center" vertical="top" wrapText="1"/>
    </xf>
    <xf numFmtId="0" fontId="11" fillId="0" borderId="19" xfId="0" applyFont="1" applyFill="1" applyBorder="1" applyAlignment="1" quotePrefix="1">
      <alignment horizontal="center" vertical="top" wrapText="1"/>
    </xf>
    <xf numFmtId="0" fontId="11" fillId="0" borderId="13" xfId="0" applyFont="1" applyFill="1" applyBorder="1" applyAlignment="1" quotePrefix="1">
      <alignment horizontal="center" vertical="top" wrapText="1"/>
    </xf>
    <xf numFmtId="0" fontId="28" fillId="0" borderId="14" xfId="0" applyFont="1" applyFill="1" applyBorder="1" applyAlignment="1">
      <alignment horizontal="left" vertical="top" wrapText="1"/>
    </xf>
    <xf numFmtId="0" fontId="28" fillId="0" borderId="0"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16" xfId="0" applyFont="1" applyFill="1" applyBorder="1" applyAlignment="1">
      <alignment horizontal="left" vertical="top" wrapText="1"/>
    </xf>
    <xf numFmtId="1" fontId="5" fillId="0" borderId="10" xfId="0" applyNumberFormat="1" applyFont="1" applyFill="1" applyBorder="1" applyAlignment="1">
      <alignment horizontal="center" vertical="top" wrapText="1"/>
    </xf>
    <xf numFmtId="0" fontId="48" fillId="0" borderId="15" xfId="0" applyFont="1" applyFill="1" applyBorder="1" applyAlignment="1">
      <alignment horizontal="center" vertical="top" wrapText="1"/>
    </xf>
    <xf numFmtId="0" fontId="48" fillId="0" borderId="17" xfId="0" applyFont="1" applyFill="1" applyBorder="1" applyAlignment="1">
      <alignment horizontal="center" vertical="top" wrapText="1"/>
    </xf>
    <xf numFmtId="0" fontId="11" fillId="0" borderId="20"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5" fillId="0" borderId="14" xfId="0" applyFont="1" applyFill="1" applyBorder="1" applyAlignment="1">
      <alignment horizontal="left" vertical="top" wrapText="1"/>
    </xf>
    <xf numFmtId="0" fontId="38" fillId="0" borderId="0" xfId="0" applyFont="1" applyFill="1" applyBorder="1" applyAlignment="1">
      <alignment horizontal="center" vertical="top" wrapText="1"/>
    </xf>
    <xf numFmtId="0" fontId="11" fillId="0" borderId="1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70" fillId="0" borderId="0" xfId="0" applyFont="1" applyFill="1" applyBorder="1" applyAlignment="1">
      <alignment horizontal="center" vertical="center" wrapText="1"/>
    </xf>
    <xf numFmtId="49" fontId="28" fillId="0" borderId="0" xfId="0" applyNumberFormat="1" applyFont="1" applyFill="1" applyAlignment="1">
      <alignment horizontal="center" vertical="center" wrapText="1"/>
    </xf>
    <xf numFmtId="0" fontId="6" fillId="0" borderId="12" xfId="0" applyNumberFormat="1" applyFont="1" applyFill="1" applyBorder="1" applyAlignment="1">
      <alignment horizontal="center" vertical="center" wrapText="1"/>
    </xf>
    <xf numFmtId="0" fontId="6" fillId="0" borderId="19" xfId="0"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top" wrapText="1"/>
    </xf>
    <xf numFmtId="49" fontId="28" fillId="0" borderId="0" xfId="0" applyNumberFormat="1" applyFont="1" applyFill="1" applyBorder="1" applyAlignment="1">
      <alignment horizontal="center" wrapText="1"/>
    </xf>
    <xf numFmtId="49" fontId="5" fillId="0" borderId="0" xfId="0" applyNumberFormat="1" applyFont="1" applyFill="1" applyAlignment="1">
      <alignment horizontal="center" wrapText="1"/>
    </xf>
    <xf numFmtId="49" fontId="6" fillId="0" borderId="10" xfId="0" applyNumberFormat="1" applyFont="1" applyFill="1" applyBorder="1" applyAlignment="1">
      <alignment horizontal="left" vertical="center" wrapText="1"/>
    </xf>
    <xf numFmtId="49"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49" fontId="5" fillId="0" borderId="15" xfId="0" applyNumberFormat="1" applyFont="1" applyFill="1" applyBorder="1" applyAlignment="1">
      <alignment horizontal="left" vertical="center" wrapText="1"/>
    </xf>
    <xf numFmtId="49" fontId="5" fillId="0" borderId="17" xfId="0" applyNumberFormat="1" applyFont="1" applyFill="1" applyBorder="1" applyAlignment="1">
      <alignment horizontal="left" vertical="center" wrapText="1"/>
    </xf>
    <xf numFmtId="0" fontId="6" fillId="0" borderId="12" xfId="0" applyNumberFormat="1" applyFont="1" applyFill="1" applyBorder="1" applyAlignment="1">
      <alignment horizontal="center" vertical="top" wrapText="1"/>
    </xf>
    <xf numFmtId="49" fontId="6" fillId="0" borderId="19" xfId="0" applyNumberFormat="1" applyFont="1" applyFill="1" applyBorder="1" applyAlignment="1">
      <alignment horizontal="center" vertical="top" wrapText="1"/>
    </xf>
    <xf numFmtId="49" fontId="6" fillId="0" borderId="13" xfId="0" applyNumberFormat="1" applyFont="1" applyFill="1" applyBorder="1" applyAlignment="1">
      <alignment horizontal="center" vertical="top" wrapText="1"/>
    </xf>
    <xf numFmtId="2" fontId="5" fillId="0" borderId="10" xfId="0" applyNumberFormat="1" applyFont="1" applyFill="1" applyBorder="1" applyAlignment="1">
      <alignment horizontal="justify" vertical="center" wrapText="1"/>
    </xf>
    <xf numFmtId="49" fontId="66" fillId="0" borderId="0" xfId="0" applyNumberFormat="1" applyFont="1" applyFill="1" applyBorder="1" applyAlignment="1">
      <alignment horizontal="center" wrapText="1"/>
    </xf>
    <xf numFmtId="2" fontId="5" fillId="0" borderId="15" xfId="0" applyNumberFormat="1" applyFont="1" applyFill="1" applyBorder="1" applyAlignment="1">
      <alignment horizontal="center" vertical="center" wrapText="1"/>
    </xf>
    <xf numFmtId="2" fontId="5" fillId="0" borderId="16" xfId="0" applyNumberFormat="1" applyFont="1" applyFill="1" applyBorder="1" applyAlignment="1">
      <alignment horizontal="center" vertical="center" wrapText="1"/>
    </xf>
    <xf numFmtId="2" fontId="5" fillId="0" borderId="17" xfId="0" applyNumberFormat="1" applyFont="1" applyFill="1" applyBorder="1" applyAlignment="1">
      <alignment horizontal="center" vertical="center" wrapText="1"/>
    </xf>
    <xf numFmtId="0" fontId="6" fillId="0" borderId="12" xfId="0" applyFont="1" applyFill="1" applyBorder="1" applyAlignment="1" applyProtection="1">
      <alignment horizontal="center" vertical="center"/>
      <protection/>
    </xf>
    <xf numFmtId="0" fontId="6" fillId="0" borderId="19" xfId="0" applyFont="1" applyFill="1" applyBorder="1" applyAlignment="1" applyProtection="1">
      <alignment horizontal="center" vertical="center"/>
      <protection/>
    </xf>
    <xf numFmtId="0" fontId="6" fillId="0" borderId="13" xfId="0" applyFont="1" applyFill="1" applyBorder="1" applyAlignment="1" applyProtection="1">
      <alignment horizontal="center" vertical="center"/>
      <protection/>
    </xf>
    <xf numFmtId="49" fontId="28" fillId="0" borderId="0" xfId="0" applyNumberFormat="1" applyFont="1" applyFill="1" applyAlignment="1">
      <alignment horizontal="left" vertical="center" wrapText="1"/>
    </xf>
    <xf numFmtId="0" fontId="28" fillId="0" borderId="0" xfId="0" applyFont="1" applyFill="1" applyBorder="1" applyAlignment="1">
      <alignment horizontal="center"/>
    </xf>
    <xf numFmtId="49" fontId="5" fillId="0" borderId="12"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0" fontId="30" fillId="0" borderId="0" xfId="0" applyFont="1" applyFill="1" applyBorder="1" applyAlignment="1" applyProtection="1">
      <alignment horizontal="center" vertical="center"/>
      <protection/>
    </xf>
    <xf numFmtId="0" fontId="5" fillId="0" borderId="10" xfId="0" applyFont="1" applyFill="1" applyBorder="1" applyAlignment="1">
      <alignment horizontal="center" vertical="center" wrapText="1"/>
    </xf>
    <xf numFmtId="0" fontId="5" fillId="0" borderId="10" xfId="0" applyFont="1" applyFill="1" applyBorder="1" applyAlignment="1" applyProtection="1">
      <alignment horizontal="center" vertical="center" wrapText="1"/>
      <protection/>
    </xf>
    <xf numFmtId="0" fontId="17" fillId="32" borderId="0" xfId="0" applyFont="1" applyFill="1" applyBorder="1" applyAlignment="1">
      <alignment horizontal="center" vertical="center" wrapText="1"/>
    </xf>
    <xf numFmtId="0" fontId="6" fillId="0" borderId="10" xfId="0" applyFont="1" applyFill="1" applyBorder="1" applyAlignment="1" applyProtection="1">
      <alignment horizontal="center" vertical="center"/>
      <protection/>
    </xf>
    <xf numFmtId="0" fontId="0" fillId="32" borderId="0" xfId="0" applyFont="1" applyFill="1" applyBorder="1" applyAlignment="1" applyProtection="1">
      <alignment horizontal="center" vertical="center" wrapText="1"/>
      <protection/>
    </xf>
    <xf numFmtId="0" fontId="0" fillId="32" borderId="14" xfId="0" applyFill="1" applyBorder="1" applyAlignment="1">
      <alignment horizontal="center" vertical="center"/>
    </xf>
    <xf numFmtId="0" fontId="0" fillId="32" borderId="0" xfId="0" applyFill="1" applyAlignment="1">
      <alignment horizontal="center" vertical="center"/>
    </xf>
    <xf numFmtId="0" fontId="0" fillId="32" borderId="14" xfId="0" applyFont="1" applyFill="1" applyBorder="1" applyAlignment="1">
      <alignment horizontal="left" vertical="center" wrapText="1"/>
    </xf>
    <xf numFmtId="0" fontId="0" fillId="32" borderId="0" xfId="0" applyFont="1" applyFill="1" applyBorder="1" applyAlignment="1">
      <alignment horizontal="left" vertical="center" wrapText="1"/>
    </xf>
    <xf numFmtId="49" fontId="0" fillId="32" borderId="14" xfId="0" applyNumberFormat="1" applyFont="1" applyFill="1" applyBorder="1" applyAlignment="1">
      <alignment horizontal="left" vertical="center" wrapText="1"/>
    </xf>
    <xf numFmtId="49" fontId="0" fillId="32" borderId="0" xfId="0" applyNumberFormat="1" applyFont="1" applyFill="1" applyBorder="1" applyAlignment="1">
      <alignment horizontal="left" vertical="center" wrapText="1"/>
    </xf>
    <xf numFmtId="0" fontId="30" fillId="0" borderId="0" xfId="0" applyFont="1" applyFill="1" applyBorder="1" applyAlignment="1">
      <alignment horizontal="center" vertical="center" wrapText="1"/>
    </xf>
    <xf numFmtId="0" fontId="30" fillId="0" borderId="0" xfId="0" applyFont="1" applyFill="1" applyBorder="1" applyAlignment="1">
      <alignment horizontal="center" vertical="center"/>
    </xf>
    <xf numFmtId="0" fontId="6" fillId="0" borderId="12"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0" fillId="32" borderId="0" xfId="0" applyFill="1" applyBorder="1" applyAlignment="1">
      <alignment horizontal="center" vertical="center"/>
    </xf>
    <xf numFmtId="0" fontId="17" fillId="32" borderId="14" xfId="0" applyFont="1" applyFill="1" applyBorder="1" applyAlignment="1">
      <alignment horizontal="left" vertical="center" wrapText="1"/>
    </xf>
    <xf numFmtId="0" fontId="17" fillId="32" borderId="0" xfId="0" applyFont="1" applyFill="1" applyBorder="1" applyAlignment="1">
      <alignment horizontal="left" vertical="center" wrapText="1"/>
    </xf>
    <xf numFmtId="0" fontId="6" fillId="0" borderId="10" xfId="0" applyFont="1" applyFill="1" applyBorder="1" applyAlignment="1">
      <alignment horizontal="left" vertical="top" wrapText="1"/>
    </xf>
    <xf numFmtId="49" fontId="28" fillId="0" borderId="0" xfId="0" applyNumberFormat="1" applyFont="1" applyFill="1" applyBorder="1" applyAlignment="1">
      <alignment horizontal="center" vertical="center" wrapText="1"/>
    </xf>
    <xf numFmtId="2" fontId="5" fillId="0" borderId="10" xfId="0" applyNumberFormat="1" applyFont="1" applyFill="1" applyBorder="1" applyAlignment="1">
      <alignment horizontal="center" vertical="center" wrapText="1"/>
    </xf>
    <xf numFmtId="49" fontId="30" fillId="0" borderId="0" xfId="0" applyNumberFormat="1" applyFont="1" applyFill="1" applyBorder="1" applyAlignment="1">
      <alignment horizontal="center" vertical="center" wrapText="1"/>
    </xf>
    <xf numFmtId="49" fontId="6" fillId="0" borderId="10" xfId="0" applyNumberFormat="1" applyFont="1" applyFill="1" applyBorder="1" applyAlignment="1">
      <alignment horizontal="left" vertical="top" wrapText="1"/>
    </xf>
    <xf numFmtId="49" fontId="5" fillId="0" borderId="0" xfId="0" applyNumberFormat="1" applyFont="1" applyFill="1" applyAlignment="1">
      <alignment horizontal="left" wrapText="1"/>
    </xf>
    <xf numFmtId="49" fontId="6" fillId="0" borderId="19"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49" fontId="33" fillId="0" borderId="0" xfId="0" applyNumberFormat="1" applyFont="1" applyFill="1" applyBorder="1" applyAlignment="1">
      <alignment horizontal="center" wrapText="1"/>
    </xf>
    <xf numFmtId="49" fontId="28" fillId="0" borderId="0" xfId="61" applyNumberFormat="1" applyFont="1" applyFill="1" applyBorder="1" applyAlignment="1">
      <alignment horizontal="center" wrapText="1"/>
      <protection/>
    </xf>
    <xf numFmtId="0" fontId="33" fillId="0" borderId="0" xfId="0" applyFont="1" applyFill="1" applyBorder="1" applyAlignment="1">
      <alignment horizontal="center" vertical="center" wrapText="1"/>
    </xf>
    <xf numFmtId="0" fontId="17" fillId="0" borderId="12" xfId="0" applyFont="1" applyFill="1" applyBorder="1" applyAlignment="1">
      <alignment horizontal="center" vertical="top"/>
    </xf>
    <xf numFmtId="0" fontId="17" fillId="0" borderId="13" xfId="0" applyFont="1" applyFill="1" applyBorder="1" applyAlignment="1">
      <alignment horizontal="center" vertical="top"/>
    </xf>
    <xf numFmtId="0" fontId="17" fillId="0" borderId="10" xfId="0" applyFont="1" applyFill="1" applyBorder="1" applyAlignment="1">
      <alignment horizontal="center" vertical="top"/>
    </xf>
    <xf numFmtId="0" fontId="17" fillId="0" borderId="19" xfId="0" applyFont="1" applyFill="1" applyBorder="1" applyAlignment="1">
      <alignment horizontal="center" vertical="top"/>
    </xf>
    <xf numFmtId="0" fontId="5" fillId="0" borderId="10" xfId="66" applyFont="1" applyFill="1" applyBorder="1" applyAlignment="1">
      <alignment horizontal="left" vertical="top" wrapText="1"/>
      <protection/>
    </xf>
    <xf numFmtId="0" fontId="17" fillId="0" borderId="12" xfId="61" applyNumberFormat="1" applyFont="1" applyFill="1" applyBorder="1" applyAlignment="1">
      <alignment horizontal="center" vertical="top" wrapText="1"/>
      <protection/>
    </xf>
    <xf numFmtId="49" fontId="17" fillId="0" borderId="13" xfId="61" applyNumberFormat="1" applyFont="1" applyFill="1" applyBorder="1" applyAlignment="1">
      <alignment horizontal="center" vertical="top" wrapText="1"/>
      <protection/>
    </xf>
    <xf numFmtId="49" fontId="5" fillId="0" borderId="10" xfId="61" applyNumberFormat="1" applyFont="1" applyFill="1" applyBorder="1" applyAlignment="1">
      <alignment horizontal="center" vertical="center" wrapText="1"/>
      <protection/>
    </xf>
    <xf numFmtId="0" fontId="17" fillId="0" borderId="19" xfId="61" applyNumberFormat="1" applyFont="1" applyFill="1" applyBorder="1" applyAlignment="1">
      <alignment horizontal="center" vertical="top" wrapText="1"/>
      <protection/>
    </xf>
    <xf numFmtId="0" fontId="5" fillId="0" borderId="12" xfId="61" applyNumberFormat="1" applyFont="1" applyFill="1" applyBorder="1" applyAlignment="1">
      <alignment horizontal="center" vertical="center" wrapText="1"/>
      <protection/>
    </xf>
    <xf numFmtId="0" fontId="6" fillId="0" borderId="13" xfId="61" applyFont="1" applyFill="1" applyBorder="1" applyAlignment="1">
      <alignment horizontal="center" vertical="center" wrapText="1"/>
      <protection/>
    </xf>
    <xf numFmtId="49" fontId="30" fillId="0" borderId="0" xfId="61" applyNumberFormat="1" applyFont="1" applyFill="1" applyBorder="1" applyAlignment="1">
      <alignment horizontal="center" vertical="center" wrapText="1"/>
      <protection/>
    </xf>
    <xf numFmtId="2" fontId="5" fillId="0" borderId="10" xfId="61" applyNumberFormat="1" applyFont="1" applyFill="1" applyBorder="1" applyAlignment="1">
      <alignment horizontal="center" vertical="center" wrapText="1"/>
      <protection/>
    </xf>
    <xf numFmtId="49" fontId="33" fillId="0" borderId="0" xfId="61" applyNumberFormat="1" applyFont="1" applyFill="1" applyBorder="1" applyAlignment="1">
      <alignment horizontal="center" vertical="center" wrapText="1"/>
      <protection/>
    </xf>
    <xf numFmtId="49" fontId="66" fillId="0" borderId="0" xfId="0" applyNumberFormat="1" applyFont="1" applyFill="1" applyAlignment="1">
      <alignment horizontal="center" vertical="center" wrapText="1"/>
    </xf>
    <xf numFmtId="0" fontId="17" fillId="0" borderId="13" xfId="61" applyNumberFormat="1" applyFont="1" applyFill="1" applyBorder="1" applyAlignment="1">
      <alignment horizontal="center" vertical="top" wrapText="1"/>
      <protection/>
    </xf>
    <xf numFmtId="49" fontId="17" fillId="0" borderId="19" xfId="61" applyNumberFormat="1" applyFont="1" applyFill="1" applyBorder="1" applyAlignment="1">
      <alignment horizontal="center" vertical="top" wrapText="1"/>
      <protection/>
    </xf>
    <xf numFmtId="0" fontId="0" fillId="32" borderId="14" xfId="0" applyFont="1" applyFill="1" applyBorder="1" applyAlignment="1">
      <alignment horizontal="center" vertical="center" wrapText="1"/>
    </xf>
    <xf numFmtId="0" fontId="0" fillId="32" borderId="0" xfId="0" applyFont="1" applyFill="1" applyBorder="1" applyAlignment="1">
      <alignment horizontal="center" vertical="center" wrapText="1"/>
    </xf>
    <xf numFmtId="2" fontId="2" fillId="0" borderId="10" xfId="61" applyNumberFormat="1" applyFont="1" applyFill="1" applyBorder="1" applyAlignment="1">
      <alignment horizontal="center" vertical="center" wrapText="1"/>
      <protection/>
    </xf>
    <xf numFmtId="0" fontId="33" fillId="0" borderId="0" xfId="0" applyFont="1" applyFill="1" applyBorder="1" applyAlignment="1">
      <alignment horizontal="center" vertical="top"/>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28" fillId="0" borderId="0" xfId="0" applyFont="1" applyFill="1" applyBorder="1" applyAlignment="1">
      <alignment horizontal="right" vertical="top"/>
    </xf>
    <xf numFmtId="49" fontId="30" fillId="0" borderId="0" xfId="0" applyNumberFormat="1" applyFont="1" applyFill="1" applyAlignment="1">
      <alignment horizontal="center" vertical="center" wrapText="1"/>
    </xf>
    <xf numFmtId="0" fontId="0" fillId="0" borderId="10" xfId="0" applyFill="1" applyBorder="1" applyAlignment="1">
      <alignment horizontal="center" vertical="top" wrapText="1"/>
    </xf>
    <xf numFmtId="0" fontId="0" fillId="0" borderId="12" xfId="0" applyFill="1" applyBorder="1" applyAlignment="1">
      <alignment horizontal="center" vertical="top" wrapText="1"/>
    </xf>
    <xf numFmtId="0" fontId="0" fillId="0" borderId="19" xfId="0" applyFill="1" applyBorder="1" applyAlignment="1">
      <alignment horizontal="center" vertical="top" wrapText="1"/>
    </xf>
    <xf numFmtId="0" fontId="0" fillId="0" borderId="13" xfId="0" applyFill="1" applyBorder="1" applyAlignment="1">
      <alignment horizontal="center" vertical="top" wrapText="1"/>
    </xf>
    <xf numFmtId="0" fontId="0" fillId="0" borderId="19" xfId="0"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28" fillId="0" borderId="0" xfId="0" applyFont="1" applyFill="1" applyBorder="1" applyAlignment="1">
      <alignment horizontal="center" vertical="top"/>
    </xf>
    <xf numFmtId="0" fontId="30" fillId="0" borderId="0" xfId="0" applyFont="1" applyFill="1" applyBorder="1" applyAlignment="1">
      <alignment horizontal="center" vertical="top"/>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6" fillId="0" borderId="12" xfId="0" applyFont="1" applyFill="1" applyBorder="1" applyAlignment="1">
      <alignment horizontal="center" vertical="top" wrapText="1"/>
    </xf>
    <xf numFmtId="0" fontId="6" fillId="0" borderId="19" xfId="0" applyFont="1" applyFill="1" applyBorder="1" applyAlignment="1">
      <alignment horizontal="center" vertical="top" wrapText="1"/>
    </xf>
    <xf numFmtId="0" fontId="6" fillId="0" borderId="13" xfId="0" applyFont="1" applyFill="1" applyBorder="1" applyAlignment="1">
      <alignment horizontal="center" vertical="top" wrapText="1"/>
    </xf>
    <xf numFmtId="0" fontId="11" fillId="0" borderId="0" xfId="0" applyFont="1" applyFill="1" applyBorder="1" applyAlignment="1">
      <alignment horizontal="center"/>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2" fontId="2" fillId="32" borderId="11" xfId="0" applyNumberFormat="1" applyFont="1" applyFill="1" applyBorder="1" applyAlignment="1">
      <alignment horizontal="center" wrapText="1"/>
    </xf>
    <xf numFmtId="0" fontId="6" fillId="0" borderId="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17" fillId="0" borderId="0" xfId="0" applyFont="1" applyFill="1" applyBorder="1" applyAlignment="1">
      <alignment horizontal="left" vertical="center" wrapText="1"/>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28" fillId="0" borderId="0" xfId="0" applyFont="1" applyFill="1" applyBorder="1" applyAlignment="1">
      <alignment horizontal="left"/>
    </xf>
    <xf numFmtId="0" fontId="0" fillId="0" borderId="0" xfId="0" applyFill="1" applyAlignment="1">
      <alignment horizontal="left" vertical="center" wrapText="1"/>
    </xf>
    <xf numFmtId="0" fontId="17" fillId="0" borderId="12" xfId="0" applyFont="1" applyFill="1" applyBorder="1" applyAlignment="1">
      <alignment horizontal="center" vertical="top" wrapText="1"/>
    </xf>
    <xf numFmtId="0" fontId="17" fillId="0" borderId="19" xfId="0" applyFont="1" applyFill="1" applyBorder="1" applyAlignment="1">
      <alignment horizontal="center" vertical="top" wrapText="1"/>
    </xf>
    <xf numFmtId="0" fontId="17" fillId="0" borderId="13" xfId="0" applyFont="1" applyFill="1" applyBorder="1" applyAlignment="1">
      <alignment horizontal="center" vertical="top" wrapText="1"/>
    </xf>
    <xf numFmtId="0" fontId="17" fillId="0" borderId="10" xfId="0" applyFont="1" applyFill="1" applyBorder="1" applyAlignment="1">
      <alignment horizontal="center" vertical="top" wrapText="1"/>
    </xf>
    <xf numFmtId="0" fontId="0" fillId="32" borderId="0" xfId="0" applyFill="1" applyAlignment="1">
      <alignment horizontal="center"/>
    </xf>
    <xf numFmtId="0" fontId="6" fillId="0" borderId="0" xfId="0" applyFont="1" applyFill="1" applyBorder="1" applyAlignment="1">
      <alignment horizontal="left" vertical="top" wrapText="1"/>
    </xf>
    <xf numFmtId="0" fontId="28" fillId="0" borderId="0"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2"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0" fillId="32" borderId="0" xfId="0" applyFont="1" applyFill="1" applyBorder="1" applyAlignment="1">
      <alignment horizontal="left" vertical="center" wrapText="1"/>
    </xf>
    <xf numFmtId="0" fontId="5" fillId="0" borderId="12" xfId="0" applyFont="1" applyFill="1" applyBorder="1" applyAlignment="1">
      <alignment horizontal="center" vertical="top"/>
    </xf>
    <xf numFmtId="0" fontId="5" fillId="0" borderId="19" xfId="0" applyFont="1" applyFill="1" applyBorder="1" applyAlignment="1">
      <alignment horizontal="center" vertical="top"/>
    </xf>
    <xf numFmtId="0" fontId="5" fillId="0" borderId="13" xfId="0" applyFont="1" applyFill="1" applyBorder="1" applyAlignment="1">
      <alignment horizontal="center" vertical="top"/>
    </xf>
    <xf numFmtId="0" fontId="6" fillId="0" borderId="10" xfId="0" applyFont="1" applyFill="1" applyBorder="1" applyAlignment="1">
      <alignment horizontal="left" vertical="top" wrapText="1"/>
    </xf>
    <xf numFmtId="0" fontId="6" fillId="0" borderId="10" xfId="0" applyFont="1" applyFill="1" applyBorder="1" applyAlignment="1">
      <alignment horizontal="left" vertical="center" wrapText="1"/>
    </xf>
    <xf numFmtId="0" fontId="44" fillId="0" borderId="10" xfId="0" applyFont="1" applyFill="1" applyBorder="1" applyAlignment="1">
      <alignment horizontal="center" vertical="center" wrapText="1"/>
    </xf>
    <xf numFmtId="0" fontId="17" fillId="0" borderId="12" xfId="0" applyFont="1" applyFill="1" applyBorder="1" applyAlignment="1">
      <alignment horizontal="center" vertical="center"/>
    </xf>
    <xf numFmtId="0" fontId="17" fillId="0" borderId="19" xfId="0" applyFont="1" applyFill="1" applyBorder="1" applyAlignment="1">
      <alignment horizontal="center" vertical="center"/>
    </xf>
    <xf numFmtId="0" fontId="17" fillId="0" borderId="13" xfId="0" applyFont="1" applyFill="1" applyBorder="1" applyAlignment="1">
      <alignment horizontal="center" vertical="center"/>
    </xf>
    <xf numFmtId="0" fontId="5" fillId="0" borderId="10" xfId="0" applyFont="1" applyFill="1" applyBorder="1" applyAlignment="1">
      <alignment horizontal="center" vertical="top"/>
    </xf>
    <xf numFmtId="0" fontId="44" fillId="0" borderId="12" xfId="0" applyFont="1" applyFill="1" applyBorder="1" applyAlignment="1">
      <alignment horizontal="center" vertical="center" wrapText="1"/>
    </xf>
    <xf numFmtId="0" fontId="44" fillId="0" borderId="19" xfId="0" applyFont="1" applyFill="1" applyBorder="1" applyAlignment="1">
      <alignment horizontal="center" vertical="center" wrapText="1"/>
    </xf>
    <xf numFmtId="0" fontId="44" fillId="0" borderId="13" xfId="0" applyFont="1" applyFill="1" applyBorder="1" applyAlignment="1">
      <alignment horizontal="center" vertical="center" wrapText="1"/>
    </xf>
    <xf numFmtId="0" fontId="44" fillId="0" borderId="15" xfId="0" applyFont="1" applyFill="1" applyBorder="1" applyAlignment="1">
      <alignment horizontal="center" vertical="top" wrapText="1"/>
    </xf>
    <xf numFmtId="0" fontId="44" fillId="0" borderId="17" xfId="0" applyFont="1" applyFill="1" applyBorder="1" applyAlignment="1">
      <alignment horizontal="center" vertical="top" wrapText="1"/>
    </xf>
    <xf numFmtId="0" fontId="44" fillId="0" borderId="20" xfId="0" applyFont="1" applyFill="1" applyBorder="1" applyAlignment="1">
      <alignment horizontal="center" vertical="center" wrapText="1"/>
    </xf>
    <xf numFmtId="0" fontId="44" fillId="0" borderId="24" xfId="0" applyFont="1" applyFill="1" applyBorder="1" applyAlignment="1">
      <alignment horizontal="center" vertical="center" wrapText="1"/>
    </xf>
    <xf numFmtId="0" fontId="44" fillId="0" borderId="14" xfId="0" applyFont="1" applyFill="1" applyBorder="1" applyAlignment="1">
      <alignment horizontal="center" vertical="center" wrapText="1"/>
    </xf>
    <xf numFmtId="0" fontId="44" fillId="0" borderId="21" xfId="0" applyFont="1" applyFill="1" applyBorder="1" applyAlignment="1">
      <alignment horizontal="center" vertical="center" wrapText="1"/>
    </xf>
    <xf numFmtId="0" fontId="44" fillId="0" borderId="22" xfId="0" applyFont="1" applyFill="1" applyBorder="1" applyAlignment="1">
      <alignment horizontal="center" vertical="center" wrapText="1"/>
    </xf>
    <xf numFmtId="0" fontId="44" fillId="0" borderId="23" xfId="0" applyFont="1" applyFill="1" applyBorder="1" applyAlignment="1">
      <alignment horizontal="center" vertical="center" wrapText="1"/>
    </xf>
    <xf numFmtId="0" fontId="44" fillId="0" borderId="10" xfId="0" applyNumberFormat="1" applyFont="1" applyFill="1" applyBorder="1" applyAlignment="1">
      <alignment horizontal="center" vertical="center" wrapText="1"/>
    </xf>
    <xf numFmtId="0" fontId="44" fillId="0" borderId="10" xfId="0" applyFont="1" applyFill="1" applyBorder="1" applyAlignment="1">
      <alignment horizontal="center" vertical="center"/>
    </xf>
    <xf numFmtId="0" fontId="2" fillId="0" borderId="0" xfId="0" applyFont="1" applyFill="1" applyBorder="1" applyAlignment="1">
      <alignment horizontal="left"/>
    </xf>
    <xf numFmtId="0" fontId="22" fillId="0" borderId="12"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13" xfId="0" applyFont="1" applyFill="1" applyBorder="1" applyAlignment="1">
      <alignment horizontal="center" vertical="center"/>
    </xf>
    <xf numFmtId="0" fontId="0" fillId="0" borderId="15" xfId="0" applyFill="1" applyBorder="1" applyAlignment="1">
      <alignment horizontal="left" vertical="center" wrapText="1"/>
    </xf>
    <xf numFmtId="0" fontId="0" fillId="0" borderId="16" xfId="0" applyFill="1" applyBorder="1" applyAlignment="1">
      <alignment horizontal="left" vertical="center" wrapText="1"/>
    </xf>
    <xf numFmtId="0" fontId="0" fillId="0" borderId="12" xfId="0" applyFill="1" applyBorder="1" applyAlignment="1">
      <alignment horizontal="center" vertical="top"/>
    </xf>
    <xf numFmtId="0" fontId="0" fillId="0" borderId="19" xfId="0" applyFill="1" applyBorder="1" applyAlignment="1">
      <alignment horizontal="center" vertical="top"/>
    </xf>
    <xf numFmtId="0" fontId="0" fillId="0" borderId="13" xfId="0" applyFill="1" applyBorder="1" applyAlignment="1">
      <alignment horizontal="center" vertical="top"/>
    </xf>
    <xf numFmtId="0" fontId="0" fillId="0" borderId="19" xfId="0" applyFill="1" applyBorder="1" applyAlignment="1">
      <alignment horizontal="center"/>
    </xf>
    <xf numFmtId="0" fontId="0" fillId="0" borderId="13" xfId="0" applyFill="1" applyBorder="1" applyAlignment="1">
      <alignment horizontal="center"/>
    </xf>
    <xf numFmtId="0" fontId="0" fillId="0" borderId="19" xfId="0" applyFont="1" applyFill="1" applyBorder="1" applyAlignment="1">
      <alignment horizontal="center" vertical="top"/>
    </xf>
    <xf numFmtId="0" fontId="0" fillId="0" borderId="10" xfId="0" applyFill="1" applyBorder="1" applyAlignment="1">
      <alignment horizontal="left" vertical="top" wrapText="1"/>
    </xf>
    <xf numFmtId="0" fontId="1" fillId="0" borderId="12" xfId="0" applyFont="1" applyFill="1" applyBorder="1" applyAlignment="1">
      <alignment horizontal="center" vertical="top"/>
    </xf>
    <xf numFmtId="0" fontId="1" fillId="0" borderId="19" xfId="0" applyFont="1" applyFill="1" applyBorder="1" applyAlignment="1">
      <alignment horizontal="center" vertical="top"/>
    </xf>
    <xf numFmtId="0" fontId="1" fillId="0" borderId="13" xfId="0" applyFont="1" applyFill="1" applyBorder="1" applyAlignment="1">
      <alignment horizontal="center" vertical="top"/>
    </xf>
    <xf numFmtId="0" fontId="0" fillId="0" borderId="12" xfId="0" applyFont="1" applyFill="1" applyBorder="1" applyAlignment="1">
      <alignment horizontal="right" vertical="top" wrapText="1"/>
    </xf>
    <xf numFmtId="0" fontId="0" fillId="0" borderId="19" xfId="0" applyFont="1" applyFill="1" applyBorder="1" applyAlignment="1">
      <alignment horizontal="right" vertical="top" wrapText="1"/>
    </xf>
    <xf numFmtId="0" fontId="0" fillId="0" borderId="13" xfId="0" applyFont="1" applyFill="1" applyBorder="1" applyAlignment="1">
      <alignment horizontal="right" vertical="top" wrapText="1"/>
    </xf>
    <xf numFmtId="0" fontId="0" fillId="0" borderId="12" xfId="0" applyFill="1" applyBorder="1" applyAlignment="1">
      <alignment horizontal="right" vertical="top"/>
    </xf>
    <xf numFmtId="0" fontId="0" fillId="0" borderId="19" xfId="0" applyFill="1" applyBorder="1" applyAlignment="1">
      <alignment horizontal="right" vertical="top"/>
    </xf>
    <xf numFmtId="0" fontId="0" fillId="0" borderId="13" xfId="0" applyFill="1" applyBorder="1" applyAlignment="1">
      <alignment horizontal="right" vertical="top"/>
    </xf>
    <xf numFmtId="0" fontId="1" fillId="0" borderId="15" xfId="0" applyFont="1" applyFill="1" applyBorder="1" applyAlignment="1">
      <alignment horizontal="center" wrapText="1"/>
    </xf>
    <xf numFmtId="0" fontId="1" fillId="0" borderId="17" xfId="0" applyFont="1" applyFill="1" applyBorder="1" applyAlignment="1">
      <alignment horizontal="center" wrapText="1"/>
    </xf>
    <xf numFmtId="0" fontId="0" fillId="0" borderId="10" xfId="0" applyFill="1" applyBorder="1" applyAlignment="1">
      <alignment horizontal="right" vertical="top"/>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0" fontId="34" fillId="0" borderId="0" xfId="0" applyFont="1" applyFill="1" applyBorder="1" applyAlignment="1">
      <alignment/>
    </xf>
    <xf numFmtId="0" fontId="42" fillId="0" borderId="0" xfId="0" applyFont="1" applyFill="1" applyBorder="1" applyAlignment="1">
      <alignment horizontal="center"/>
    </xf>
    <xf numFmtId="0" fontId="33" fillId="0" borderId="0" xfId="0" applyFont="1" applyFill="1" applyBorder="1" applyAlignment="1">
      <alignment horizontal="center"/>
    </xf>
    <xf numFmtId="0" fontId="2" fillId="0" borderId="0" xfId="0" applyFont="1" applyFill="1" applyBorder="1" applyAlignment="1">
      <alignment horizontal="center" vertical="top"/>
    </xf>
    <xf numFmtId="0" fontId="17" fillId="0" borderId="12" xfId="0" applyFont="1" applyFill="1" applyBorder="1" applyAlignment="1">
      <alignment horizontal="center" vertical="top" wrapText="1"/>
    </xf>
    <xf numFmtId="0" fontId="17" fillId="0" borderId="19" xfId="0" applyFont="1" applyFill="1" applyBorder="1" applyAlignment="1">
      <alignment horizontal="center" vertical="top" wrapText="1"/>
    </xf>
    <xf numFmtId="0" fontId="17" fillId="0" borderId="13" xfId="0" applyFont="1" applyFill="1" applyBorder="1" applyAlignment="1">
      <alignment horizontal="center" vertical="top" wrapText="1"/>
    </xf>
    <xf numFmtId="0" fontId="17" fillId="0" borderId="12" xfId="0" applyFont="1" applyFill="1" applyBorder="1" applyAlignment="1">
      <alignment horizontal="center" vertical="top"/>
    </xf>
    <xf numFmtId="0" fontId="17" fillId="0" borderId="13" xfId="0" applyFont="1" applyFill="1" applyBorder="1" applyAlignment="1">
      <alignment horizontal="center" vertical="top"/>
    </xf>
    <xf numFmtId="0" fontId="17" fillId="0" borderId="19" xfId="0" applyFont="1" applyFill="1" applyBorder="1" applyAlignment="1">
      <alignment horizontal="center" vertical="top"/>
    </xf>
    <xf numFmtId="0" fontId="2" fillId="0" borderId="15" xfId="0" applyFont="1" applyFill="1" applyBorder="1" applyAlignment="1">
      <alignment horizontal="left"/>
    </xf>
    <xf numFmtId="0" fontId="2" fillId="0" borderId="17" xfId="0" applyFont="1" applyFill="1" applyBorder="1" applyAlignment="1">
      <alignment horizontal="left"/>
    </xf>
    <xf numFmtId="0" fontId="1" fillId="0" borderId="15" xfId="0" applyFont="1" applyFill="1" applyBorder="1" applyAlignment="1">
      <alignment horizontal="center"/>
    </xf>
    <xf numFmtId="0" fontId="1" fillId="0" borderId="17" xfId="0" applyFont="1" applyFill="1" applyBorder="1" applyAlignment="1">
      <alignment horizontal="center"/>
    </xf>
    <xf numFmtId="0" fontId="2" fillId="0" borderId="20"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1" fillId="0" borderId="13" xfId="0" applyFont="1" applyFill="1" applyBorder="1" applyAlignment="1">
      <alignment horizontal="center" vertical="center"/>
    </xf>
    <xf numFmtId="0" fontId="2" fillId="0" borderId="10" xfId="0" applyFont="1" applyFill="1" applyBorder="1" applyAlignment="1">
      <alignment horizontal="center"/>
    </xf>
    <xf numFmtId="0" fontId="11" fillId="0" borderId="0" xfId="0" applyFont="1" applyFill="1" applyBorder="1" applyAlignment="1">
      <alignment horizontal="left"/>
    </xf>
    <xf numFmtId="0" fontId="17" fillId="0" borderId="13" xfId="0" applyFont="1" applyFill="1" applyBorder="1" applyAlignment="1">
      <alignment horizontal="center" vertical="center" wrapText="1"/>
    </xf>
    <xf numFmtId="0" fontId="1" fillId="0" borderId="0" xfId="0" applyFont="1" applyFill="1" applyBorder="1" applyAlignment="1">
      <alignment horizontal="left"/>
    </xf>
    <xf numFmtId="0" fontId="17" fillId="0" borderId="12" xfId="0" applyFont="1" applyFill="1" applyBorder="1" applyAlignment="1">
      <alignment horizontal="center" vertical="center"/>
    </xf>
    <xf numFmtId="0" fontId="17" fillId="0" borderId="19"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15" xfId="0" applyFont="1" applyFill="1" applyBorder="1" applyAlignment="1">
      <alignment horizontal="left" wrapText="1"/>
    </xf>
    <xf numFmtId="0" fontId="17" fillId="0" borderId="16" xfId="0" applyFont="1" applyFill="1" applyBorder="1" applyAlignment="1">
      <alignment horizontal="left" wrapText="1"/>
    </xf>
    <xf numFmtId="0" fontId="17" fillId="0" borderId="17" xfId="0" applyFont="1" applyFill="1" applyBorder="1" applyAlignment="1">
      <alignment horizontal="left" wrapText="1"/>
    </xf>
    <xf numFmtId="0" fontId="30" fillId="0" borderId="0" xfId="0" applyFont="1" applyFill="1" applyBorder="1" applyAlignment="1">
      <alignment horizontal="center"/>
    </xf>
    <xf numFmtId="0" fontId="17" fillId="0" borderId="12"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0" fillId="0" borderId="0" xfId="0" applyFill="1" applyBorder="1" applyAlignment="1">
      <alignment horizontal="center"/>
    </xf>
    <xf numFmtId="0" fontId="0" fillId="0" borderId="19" xfId="0" applyFill="1" applyBorder="1" applyAlignment="1">
      <alignment horizontal="center" vertical="center"/>
    </xf>
    <xf numFmtId="0" fontId="1" fillId="0" borderId="15" xfId="0" applyFont="1" applyFill="1" applyBorder="1" applyAlignment="1">
      <alignment horizontal="center" vertical="center"/>
    </xf>
    <xf numFmtId="0" fontId="1" fillId="0" borderId="17"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 xfId="0" applyFont="1" applyFill="1" applyBorder="1" applyAlignment="1">
      <alignment horizontal="center" vertical="top"/>
    </xf>
    <xf numFmtId="0" fontId="0" fillId="0" borderId="13" xfId="0" applyFont="1" applyFill="1" applyBorder="1" applyAlignment="1">
      <alignment horizontal="center" vertical="top"/>
    </xf>
    <xf numFmtId="0" fontId="0" fillId="0" borderId="10" xfId="0" applyFont="1" applyFill="1" applyBorder="1" applyAlignment="1">
      <alignment horizontal="left" vertical="top"/>
    </xf>
    <xf numFmtId="0" fontId="6" fillId="0" borderId="0" xfId="0" applyFont="1" applyFill="1" applyBorder="1" applyAlignment="1" quotePrefix="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2" xfId="0" applyFont="1" applyFill="1" applyBorder="1" applyAlignment="1">
      <alignment horizontal="center" vertical="center"/>
    </xf>
    <xf numFmtId="0" fontId="1" fillId="0" borderId="12"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wrapText="1"/>
    </xf>
    <xf numFmtId="0" fontId="0" fillId="0" borderId="15" xfId="0" applyFill="1" applyBorder="1" applyAlignment="1">
      <alignment horizontal="left" vertical="top"/>
    </xf>
    <xf numFmtId="0" fontId="0" fillId="0" borderId="17" xfId="0" applyFill="1" applyBorder="1" applyAlignment="1">
      <alignment horizontal="left" vertical="top"/>
    </xf>
    <xf numFmtId="0" fontId="0" fillId="0" borderId="12" xfId="0" applyFont="1" applyFill="1" applyBorder="1" applyAlignment="1" quotePrefix="1">
      <alignment horizontal="center" vertical="top"/>
    </xf>
    <xf numFmtId="0" fontId="0" fillId="0" borderId="19" xfId="0" applyFont="1" applyFill="1" applyBorder="1" applyAlignment="1" quotePrefix="1">
      <alignment horizontal="center" vertical="top"/>
    </xf>
    <xf numFmtId="0" fontId="0" fillId="0" borderId="13" xfId="0" applyFont="1" applyFill="1" applyBorder="1" applyAlignment="1" quotePrefix="1">
      <alignment horizontal="center" vertical="top"/>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xfId="57"/>
    <cellStyle name="Normal 10 4" xfId="58"/>
    <cellStyle name="Normal 2" xfId="59"/>
    <cellStyle name="Normal 2 2" xfId="60"/>
    <cellStyle name="Normal 2 2 2 3" xfId="61"/>
    <cellStyle name="Normal 2 2 3" xfId="62"/>
    <cellStyle name="Normal 2 2 3 3" xfId="63"/>
    <cellStyle name="Normal 21" xfId="64"/>
    <cellStyle name="Normal 3" xfId="65"/>
    <cellStyle name="Normal 3 2" xfId="66"/>
    <cellStyle name="Normal 3 4" xfId="67"/>
    <cellStyle name="Normal 3 4 2" xfId="68"/>
    <cellStyle name="Normal 4" xfId="69"/>
    <cellStyle name="Normal 5" xfId="70"/>
    <cellStyle name="Normal 6" xfId="71"/>
    <cellStyle name="Note" xfId="72"/>
    <cellStyle name="Output" xfId="73"/>
    <cellStyle name="Percent" xfId="74"/>
    <cellStyle name="Title" xfId="75"/>
    <cellStyle name="Total" xfId="76"/>
    <cellStyle name="Warning Text" xfId="77"/>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742950</xdr:colOff>
      <xdr:row>342</xdr:row>
      <xdr:rowOff>0</xdr:rowOff>
    </xdr:from>
    <xdr:to>
      <xdr:col>10</xdr:col>
      <xdr:colOff>742950</xdr:colOff>
      <xdr:row>342</xdr:row>
      <xdr:rowOff>0</xdr:rowOff>
    </xdr:to>
    <xdr:sp>
      <xdr:nvSpPr>
        <xdr:cNvPr id="1" name="Line 4"/>
        <xdr:cNvSpPr>
          <a:spLocks/>
        </xdr:cNvSpPr>
      </xdr:nvSpPr>
      <xdr:spPr>
        <a:xfrm>
          <a:off x="11172825" y="112299750"/>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209550</xdr:colOff>
      <xdr:row>25</xdr:row>
      <xdr:rowOff>9525</xdr:rowOff>
    </xdr:from>
    <xdr:to>
      <xdr:col>6</xdr:col>
      <xdr:colOff>0</xdr:colOff>
      <xdr:row>25</xdr:row>
      <xdr:rowOff>238125</xdr:rowOff>
    </xdr:to>
    <xdr:sp>
      <xdr:nvSpPr>
        <xdr:cNvPr id="1" name="Text Box 3"/>
        <xdr:cNvSpPr txBox="1">
          <a:spLocks noChangeArrowheads="1"/>
        </xdr:cNvSpPr>
      </xdr:nvSpPr>
      <xdr:spPr>
        <a:xfrm>
          <a:off x="5895975" y="6924675"/>
          <a:ext cx="123825" cy="22860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Arial"/>
              <a:ea typeface="Arial"/>
              <a:cs typeface="Arial"/>
            </a:rPr>
            <a:t>*</a:t>
          </a:r>
        </a:p>
      </xdr:txBody>
    </xdr:sp>
    <xdr:clientData/>
  </xdr:twoCellAnchor>
  <xdr:twoCellAnchor>
    <xdr:from>
      <xdr:col>6</xdr:col>
      <xdr:colOff>495300</xdr:colOff>
      <xdr:row>30</xdr:row>
      <xdr:rowOff>28575</xdr:rowOff>
    </xdr:from>
    <xdr:to>
      <xdr:col>6</xdr:col>
      <xdr:colOff>790575</xdr:colOff>
      <xdr:row>30</xdr:row>
      <xdr:rowOff>190500</xdr:rowOff>
    </xdr:to>
    <xdr:sp>
      <xdr:nvSpPr>
        <xdr:cNvPr id="2" name="Text Box 190"/>
        <xdr:cNvSpPr txBox="1">
          <a:spLocks noChangeArrowheads="1"/>
        </xdr:cNvSpPr>
      </xdr:nvSpPr>
      <xdr:spPr>
        <a:xfrm>
          <a:off x="6515100" y="9077325"/>
          <a:ext cx="295275" cy="161925"/>
        </a:xfrm>
        <a:prstGeom prst="rect">
          <a:avLst/>
        </a:prstGeom>
        <a:solidFill>
          <a:srgbClr val="FFFFFF"/>
        </a:solidFill>
        <a:ln w="9525" cmpd="sng">
          <a:solidFill>
            <a:srgbClr val="FFFFFF"/>
          </a:solidFill>
          <a:headEnd type="none"/>
          <a:tailEnd type="none"/>
        </a:ln>
      </xdr:spPr>
      <xdr:txBody>
        <a:bodyPr vertOverflow="clip" wrap="square" lIns="36576" tIns="27432" rIns="0" bIns="0"/>
        <a:p>
          <a:pPr algn="l">
            <a:defRPr/>
          </a:pPr>
          <a:r>
            <a:rPr lang="en-US" cap="none" sz="1400" b="0" i="0" u="none" baseline="0">
              <a:solidFill>
                <a:srgbClr val="000000"/>
              </a:solidFill>
              <a:latin typeface="Arial"/>
              <a:ea typeface="Arial"/>
              <a:cs typeface="Arial"/>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209550</xdr:colOff>
      <xdr:row>24</xdr:row>
      <xdr:rowOff>9525</xdr:rowOff>
    </xdr:from>
    <xdr:to>
      <xdr:col>5</xdr:col>
      <xdr:colOff>333375</xdr:colOff>
      <xdr:row>24</xdr:row>
      <xdr:rowOff>238125</xdr:rowOff>
    </xdr:to>
    <xdr:sp>
      <xdr:nvSpPr>
        <xdr:cNvPr id="1" name="Text Box 3"/>
        <xdr:cNvSpPr txBox="1">
          <a:spLocks noChangeArrowheads="1"/>
        </xdr:cNvSpPr>
      </xdr:nvSpPr>
      <xdr:spPr>
        <a:xfrm>
          <a:off x="7143750" y="6591300"/>
          <a:ext cx="123825" cy="22860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Arial"/>
              <a:ea typeface="Arial"/>
              <a:cs typeface="Arial"/>
            </a:rPr>
            <a:t>*</a:t>
          </a:r>
        </a:p>
      </xdr:txBody>
    </xdr:sp>
    <xdr:clientData/>
  </xdr:twoCellAnchor>
  <xdr:twoCellAnchor>
    <xdr:from>
      <xdr:col>6</xdr:col>
      <xdr:colOff>581025</xdr:colOff>
      <xdr:row>29</xdr:row>
      <xdr:rowOff>38100</xdr:rowOff>
    </xdr:from>
    <xdr:to>
      <xdr:col>6</xdr:col>
      <xdr:colOff>790575</xdr:colOff>
      <xdr:row>29</xdr:row>
      <xdr:rowOff>200025</xdr:rowOff>
    </xdr:to>
    <xdr:sp>
      <xdr:nvSpPr>
        <xdr:cNvPr id="2" name="Text Box 2"/>
        <xdr:cNvSpPr txBox="1">
          <a:spLocks noChangeArrowheads="1"/>
        </xdr:cNvSpPr>
      </xdr:nvSpPr>
      <xdr:spPr>
        <a:xfrm>
          <a:off x="7943850" y="8305800"/>
          <a:ext cx="209550" cy="161925"/>
        </a:xfrm>
        <a:prstGeom prst="rect">
          <a:avLst/>
        </a:prstGeom>
        <a:solidFill>
          <a:srgbClr val="FFFFFF"/>
        </a:solidFill>
        <a:ln w="9525" cmpd="sng">
          <a:solidFill>
            <a:srgbClr val="FFFFFF"/>
          </a:solidFill>
          <a:headEnd type="none"/>
          <a:tailEnd type="none"/>
        </a:ln>
      </xdr:spPr>
      <xdr:txBody>
        <a:bodyPr vertOverflow="clip" wrap="square" lIns="36576" tIns="27432" rIns="0" bIns="0"/>
        <a:p>
          <a:pPr algn="l">
            <a:defRPr/>
          </a:pPr>
          <a:r>
            <a:rPr lang="en-US" cap="none" sz="1400" b="0" i="0" u="none" baseline="0">
              <a:solidFill>
                <a:srgbClr val="000000"/>
              </a:solidFill>
              <a:latin typeface="Arial"/>
              <a:ea typeface="Arial"/>
              <a:cs typeface="Arial"/>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18</xdr:row>
      <xdr:rowOff>0</xdr:rowOff>
    </xdr:from>
    <xdr:ext cx="76200" cy="381000"/>
    <xdr:sp>
      <xdr:nvSpPr>
        <xdr:cNvPr id="1" name="Text Box 1"/>
        <xdr:cNvSpPr txBox="1">
          <a:spLocks noChangeArrowheads="1"/>
        </xdr:cNvSpPr>
      </xdr:nvSpPr>
      <xdr:spPr>
        <a:xfrm>
          <a:off x="7200900" y="5610225"/>
          <a:ext cx="76200" cy="3810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457200</xdr:colOff>
      <xdr:row>102</xdr:row>
      <xdr:rowOff>38100</xdr:rowOff>
    </xdr:from>
    <xdr:to>
      <xdr:col>7</xdr:col>
      <xdr:colOff>704850</xdr:colOff>
      <xdr:row>102</xdr:row>
      <xdr:rowOff>161925</xdr:rowOff>
    </xdr:to>
    <xdr:sp>
      <xdr:nvSpPr>
        <xdr:cNvPr id="1" name="Text Box 2"/>
        <xdr:cNvSpPr txBox="1">
          <a:spLocks noChangeArrowheads="1"/>
        </xdr:cNvSpPr>
      </xdr:nvSpPr>
      <xdr:spPr>
        <a:xfrm>
          <a:off x="6667500" y="21507450"/>
          <a:ext cx="247650" cy="123825"/>
        </a:xfrm>
        <a:prstGeom prst="rect">
          <a:avLst/>
        </a:prstGeom>
        <a:solidFill>
          <a:srgbClr val="FFFFFF"/>
        </a:solidFill>
        <a:ln w="9525" cmpd="sng">
          <a:solidFill>
            <a:srgbClr val="FFFFFF"/>
          </a:solidFill>
          <a:headEnd type="none"/>
          <a:tailEnd type="none"/>
        </a:ln>
      </xdr:spPr>
      <xdr:txBody>
        <a:bodyPr vertOverflow="clip" wrap="square" lIns="36576" tIns="0" rIns="0" bIns="0" vert="wordArtVertRtl"/>
        <a:p>
          <a:pPr algn="l">
            <a:defRPr/>
          </a:pPr>
          <a:r>
            <a:rPr lang="en-US" cap="none" sz="1400" b="0" i="0" u="none" baseline="0">
              <a:solidFill>
                <a:srgbClr val="000000"/>
              </a:solidFill>
              <a:latin typeface="Arial"/>
              <a:ea typeface="Arial"/>
              <a:cs typeface="Arial"/>
            </a:rPr>
            <a: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60</xdr:row>
      <xdr:rowOff>0</xdr:rowOff>
    </xdr:from>
    <xdr:to>
      <xdr:col>3</xdr:col>
      <xdr:colOff>0</xdr:colOff>
      <xdr:row>60</xdr:row>
      <xdr:rowOff>0</xdr:rowOff>
    </xdr:to>
    <xdr:sp>
      <xdr:nvSpPr>
        <xdr:cNvPr id="1" name="AutoShape 2"/>
        <xdr:cNvSpPr>
          <a:spLocks/>
        </xdr:cNvSpPr>
      </xdr:nvSpPr>
      <xdr:spPr>
        <a:xfrm>
          <a:off x="4286250" y="12925425"/>
          <a:ext cx="0" cy="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AutoShape 2"/>
        <xdr:cNvSpPr>
          <a:spLocks/>
        </xdr:cNvSpPr>
      </xdr:nvSpPr>
      <xdr:spPr>
        <a:xfrm>
          <a:off x="3962400" y="0"/>
          <a:ext cx="0" cy="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3</xdr:col>
      <xdr:colOff>0</xdr:colOff>
      <xdr:row>0</xdr:row>
      <xdr:rowOff>0</xdr:rowOff>
    </xdr:to>
    <xdr:sp>
      <xdr:nvSpPr>
        <xdr:cNvPr id="1" name="AutoShape 1"/>
        <xdr:cNvSpPr>
          <a:spLocks/>
        </xdr:cNvSpPr>
      </xdr:nvSpPr>
      <xdr:spPr>
        <a:xfrm>
          <a:off x="3276600" y="0"/>
          <a:ext cx="0" cy="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0</xdr:row>
      <xdr:rowOff>0</xdr:rowOff>
    </xdr:from>
    <xdr:to>
      <xdr:col>3</xdr:col>
      <xdr:colOff>0</xdr:colOff>
      <xdr:row>0</xdr:row>
      <xdr:rowOff>0</xdr:rowOff>
    </xdr:to>
    <xdr:sp>
      <xdr:nvSpPr>
        <xdr:cNvPr id="2" name="AutoShape 2"/>
        <xdr:cNvSpPr>
          <a:spLocks/>
        </xdr:cNvSpPr>
      </xdr:nvSpPr>
      <xdr:spPr>
        <a:xfrm>
          <a:off x="3276600" y="0"/>
          <a:ext cx="0" cy="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5"/>
  </sheetPr>
  <dimension ref="A1:S359"/>
  <sheetViews>
    <sheetView tabSelected="1" zoomScalePageLayoutView="0" workbookViewId="0" topLeftCell="A1">
      <pane xSplit="1" ySplit="6" topLeftCell="B52" activePane="bottomRight" state="frozen"/>
      <selection pane="topLeft" activeCell="A1" sqref="A1"/>
      <selection pane="topRight" activeCell="B1" sqref="B1"/>
      <selection pane="bottomLeft" activeCell="A7" sqref="A7"/>
      <selection pane="bottomRight" activeCell="J138" sqref="J138"/>
    </sheetView>
  </sheetViews>
  <sheetFormatPr defaultColWidth="9.140625" defaultRowHeight="12.75"/>
  <cols>
    <col min="1" max="1" width="6.57421875" style="2" customWidth="1"/>
    <col min="2" max="2" width="4.28125" style="2" bestFit="1" customWidth="1"/>
    <col min="3" max="3" width="55.421875" style="2" customWidth="1"/>
    <col min="4" max="4" width="15.7109375" style="2" customWidth="1"/>
    <col min="5" max="5" width="10.421875" style="2" bestFit="1" customWidth="1"/>
    <col min="6" max="7" width="13.7109375" style="2" customWidth="1"/>
    <col min="8" max="8" width="11.7109375" style="2" customWidth="1"/>
    <col min="9" max="9" width="15.57421875" style="2" customWidth="1"/>
    <col min="10" max="10" width="9.28125" style="2" customWidth="1"/>
    <col min="11" max="11" width="22.421875" style="2" bestFit="1" customWidth="1"/>
    <col min="12" max="12" width="49.140625" style="2" bestFit="1" customWidth="1"/>
    <col min="13" max="13" width="8.00390625" style="2" customWidth="1"/>
    <col min="14" max="15" width="9.140625" style="2" customWidth="1"/>
    <col min="16" max="16" width="19.8515625" style="2" bestFit="1" customWidth="1"/>
    <col min="17" max="16384" width="9.140625" style="2" customWidth="1"/>
  </cols>
  <sheetData>
    <row r="1" spans="1:13" ht="24" customHeight="1">
      <c r="A1" s="56"/>
      <c r="B1" s="1371" t="s">
        <v>1609</v>
      </c>
      <c r="C1" s="1371"/>
      <c r="D1" s="1371"/>
      <c r="E1" s="1371"/>
      <c r="F1" s="1371"/>
      <c r="G1" s="1371"/>
      <c r="H1" s="374"/>
      <c r="I1" s="374"/>
      <c r="J1" s="374"/>
      <c r="K1" s="374"/>
      <c r="L1" s="374"/>
      <c r="M1" s="374"/>
    </row>
    <row r="2" spans="1:13" ht="14.25" customHeight="1">
      <c r="A2" s="56"/>
      <c r="B2" s="56"/>
      <c r="C2" s="56"/>
      <c r="D2" s="56"/>
      <c r="E2" s="56"/>
      <c r="F2" s="56"/>
      <c r="G2" s="56"/>
      <c r="H2" s="56"/>
      <c r="I2" s="56"/>
      <c r="J2" s="56"/>
      <c r="K2" s="56"/>
      <c r="L2" s="56"/>
      <c r="M2" s="56"/>
    </row>
    <row r="3" spans="1:19" ht="22.5" customHeight="1">
      <c r="A3" s="1372" t="s">
        <v>2104</v>
      </c>
      <c r="B3" s="1366" t="s">
        <v>663</v>
      </c>
      <c r="C3" s="1367"/>
      <c r="D3" s="1372" t="s">
        <v>664</v>
      </c>
      <c r="E3" s="1372" t="s">
        <v>80</v>
      </c>
      <c r="F3" s="412" t="s">
        <v>499</v>
      </c>
      <c r="G3" s="412" t="s">
        <v>244</v>
      </c>
      <c r="H3" s="1352" t="s">
        <v>729</v>
      </c>
      <c r="I3" s="56"/>
      <c r="J3" s="56"/>
      <c r="K3" s="56"/>
      <c r="L3" s="1348"/>
      <c r="M3" s="56"/>
      <c r="S3" s="376"/>
    </row>
    <row r="4" spans="1:19" ht="51" customHeight="1">
      <c r="A4" s="1373"/>
      <c r="B4" s="1368"/>
      <c r="C4" s="1369"/>
      <c r="D4" s="1373"/>
      <c r="E4" s="1373"/>
      <c r="F4" s="412" t="s">
        <v>1745</v>
      </c>
      <c r="G4" s="412" t="s">
        <v>1745</v>
      </c>
      <c r="H4" s="1352"/>
      <c r="I4" s="56"/>
      <c r="J4" s="56"/>
      <c r="K4" s="56"/>
      <c r="L4" s="1348"/>
      <c r="M4" s="56"/>
      <c r="S4" s="376"/>
    </row>
    <row r="5" spans="1:13" ht="16.5">
      <c r="A5" s="637">
        <v>1</v>
      </c>
      <c r="B5" s="1364">
        <v>2</v>
      </c>
      <c r="C5" s="1365"/>
      <c r="D5" s="637">
        <v>3</v>
      </c>
      <c r="E5" s="637">
        <v>4</v>
      </c>
      <c r="F5" s="413">
        <v>5</v>
      </c>
      <c r="G5" s="413">
        <v>6</v>
      </c>
      <c r="H5" s="413">
        <v>7</v>
      </c>
      <c r="I5" s="56"/>
      <c r="J5" s="56"/>
      <c r="K5" s="56"/>
      <c r="L5" s="56"/>
      <c r="M5" s="56"/>
    </row>
    <row r="6" spans="1:13" ht="15.75">
      <c r="A6" s="1361" t="s">
        <v>730</v>
      </c>
      <c r="B6" s="1362"/>
      <c r="C6" s="1362"/>
      <c r="D6" s="638"/>
      <c r="E6" s="639"/>
      <c r="F6" s="230"/>
      <c r="G6" s="230"/>
      <c r="H6" s="233"/>
      <c r="I6" s="56"/>
      <c r="J6" s="56"/>
      <c r="K6" s="56"/>
      <c r="L6" s="56"/>
      <c r="M6" s="56"/>
    </row>
    <row r="7" spans="1:13" ht="36">
      <c r="A7" s="1356" t="s">
        <v>731</v>
      </c>
      <c r="B7" s="640"/>
      <c r="C7" s="641" t="s">
        <v>833</v>
      </c>
      <c r="D7" s="254"/>
      <c r="E7" s="489"/>
      <c r="F7" s="254"/>
      <c r="G7" s="254"/>
      <c r="H7" s="254"/>
      <c r="I7" s="56"/>
      <c r="J7" s="56"/>
      <c r="K7" s="56"/>
      <c r="L7" s="56"/>
      <c r="M7" s="56"/>
    </row>
    <row r="8" spans="1:13" ht="19.5" customHeight="1">
      <c r="A8" s="1357"/>
      <c r="B8" s="642" t="s">
        <v>71</v>
      </c>
      <c r="C8" s="641" t="s">
        <v>1293</v>
      </c>
      <c r="D8" s="642" t="s">
        <v>1294</v>
      </c>
      <c r="E8" s="642" t="s">
        <v>1837</v>
      </c>
      <c r="F8" s="643">
        <v>318910</v>
      </c>
      <c r="G8" s="643">
        <v>290208</v>
      </c>
      <c r="H8" s="644">
        <f>(G8-F8)*100/F8</f>
        <v>-9.000031356809131</v>
      </c>
      <c r="I8" s="56"/>
      <c r="J8" s="56"/>
      <c r="K8" s="485"/>
      <c r="L8" s="485"/>
      <c r="M8" s="56"/>
    </row>
    <row r="9" spans="1:13" ht="36">
      <c r="A9" s="1357"/>
      <c r="B9" s="642" t="s">
        <v>1578</v>
      </c>
      <c r="C9" s="641" t="s">
        <v>1839</v>
      </c>
      <c r="D9" s="642" t="s">
        <v>1838</v>
      </c>
      <c r="E9" s="642" t="s">
        <v>1837</v>
      </c>
      <c r="F9" s="643">
        <v>557162</v>
      </c>
      <c r="G9" s="643">
        <v>459820</v>
      </c>
      <c r="H9" s="644">
        <f>(G9-F9)*100/F9</f>
        <v>-17.471040738600262</v>
      </c>
      <c r="I9" s="56"/>
      <c r="J9" s="56"/>
      <c r="K9" s="56"/>
      <c r="L9" s="56"/>
      <c r="M9" s="56"/>
    </row>
    <row r="10" spans="1:13" ht="18">
      <c r="A10" s="1358"/>
      <c r="B10" s="645" t="s">
        <v>352</v>
      </c>
      <c r="C10" s="641" t="s">
        <v>1746</v>
      </c>
      <c r="D10" s="642" t="s">
        <v>1840</v>
      </c>
      <c r="E10" s="642" t="s">
        <v>1837</v>
      </c>
      <c r="F10" s="643">
        <v>370283</v>
      </c>
      <c r="G10" s="643">
        <v>332390</v>
      </c>
      <c r="H10" s="644">
        <f>(G10-F10)*100/F10</f>
        <v>-10.233524088332437</v>
      </c>
      <c r="I10" s="56"/>
      <c r="J10" s="486"/>
      <c r="K10" s="56"/>
      <c r="L10" s="375"/>
      <c r="M10" s="56"/>
    </row>
    <row r="11" spans="1:13" ht="9.75" customHeight="1">
      <c r="A11" s="642"/>
      <c r="B11" s="646"/>
      <c r="C11" s="647"/>
      <c r="D11" s="648"/>
      <c r="E11" s="647"/>
      <c r="F11" s="649"/>
      <c r="G11" s="649"/>
      <c r="H11" s="644"/>
      <c r="I11" s="56"/>
      <c r="J11" s="56"/>
      <c r="K11" s="56"/>
      <c r="L11" s="56"/>
      <c r="M11" s="56"/>
    </row>
    <row r="12" spans="1:13" ht="36">
      <c r="A12" s="1349" t="s">
        <v>1841</v>
      </c>
      <c r="B12" s="642"/>
      <c r="C12" s="651" t="s">
        <v>1499</v>
      </c>
      <c r="D12" s="642" t="s">
        <v>1842</v>
      </c>
      <c r="E12" s="652"/>
      <c r="F12" s="653"/>
      <c r="G12" s="653"/>
      <c r="H12" s="644"/>
      <c r="I12" s="56"/>
      <c r="J12" s="33"/>
      <c r="K12" s="33"/>
      <c r="L12" s="56"/>
      <c r="M12" s="56"/>
    </row>
    <row r="13" spans="1:13" ht="18">
      <c r="A13" s="1350"/>
      <c r="B13" s="642" t="s">
        <v>71</v>
      </c>
      <c r="C13" s="641" t="s">
        <v>1293</v>
      </c>
      <c r="D13" s="642" t="s">
        <v>1843</v>
      </c>
      <c r="E13" s="642" t="s">
        <v>1611</v>
      </c>
      <c r="F13" s="643">
        <v>288048</v>
      </c>
      <c r="G13" s="643">
        <v>234974</v>
      </c>
      <c r="H13" s="644">
        <f>(G13-F13)*100/F13</f>
        <v>-18.42540132200189</v>
      </c>
      <c r="I13" s="56"/>
      <c r="J13" s="33"/>
      <c r="K13" s="683"/>
      <c r="L13" s="56"/>
      <c r="M13" s="56"/>
    </row>
    <row r="14" spans="1:13" ht="18">
      <c r="A14" s="1350"/>
      <c r="B14" s="642" t="s">
        <v>1578</v>
      </c>
      <c r="C14" s="651" t="s">
        <v>1844</v>
      </c>
      <c r="D14" s="642" t="s">
        <v>1845</v>
      </c>
      <c r="E14" s="642" t="s">
        <v>1611</v>
      </c>
      <c r="F14" s="643">
        <v>373903</v>
      </c>
      <c r="G14" s="643">
        <v>292201</v>
      </c>
      <c r="H14" s="644">
        <f>(G14-F14)*100/F14</f>
        <v>-21.851121815016192</v>
      </c>
      <c r="I14" s="56"/>
      <c r="J14" s="33"/>
      <c r="K14" s="683"/>
      <c r="L14" s="56"/>
      <c r="M14" s="56"/>
    </row>
    <row r="15" spans="1:13" ht="9.75" customHeight="1">
      <c r="A15" s="642"/>
      <c r="B15" s="655"/>
      <c r="C15" s="656"/>
      <c r="D15" s="657"/>
      <c r="E15" s="656"/>
      <c r="F15" s="658"/>
      <c r="G15" s="658"/>
      <c r="H15" s="644"/>
      <c r="I15" s="56"/>
      <c r="J15" s="56"/>
      <c r="K15" s="56"/>
      <c r="L15" s="56"/>
      <c r="M15" s="56"/>
    </row>
    <row r="16" spans="1:13" ht="36">
      <c r="A16" s="1349" t="s">
        <v>1846</v>
      </c>
      <c r="B16" s="655"/>
      <c r="C16" s="641" t="s">
        <v>834</v>
      </c>
      <c r="D16" s="657"/>
      <c r="E16" s="656"/>
      <c r="F16" s="658"/>
      <c r="G16" s="658"/>
      <c r="H16" s="644"/>
      <c r="I16" s="56"/>
      <c r="J16" s="56"/>
      <c r="K16" s="56"/>
      <c r="L16" s="56"/>
      <c r="M16" s="56"/>
    </row>
    <row r="17" spans="1:13" ht="18">
      <c r="A17" s="1350"/>
      <c r="B17" s="642" t="s">
        <v>71</v>
      </c>
      <c r="C17" s="641" t="s">
        <v>1847</v>
      </c>
      <c r="D17" s="642" t="s">
        <v>1848</v>
      </c>
      <c r="E17" s="642" t="s">
        <v>1611</v>
      </c>
      <c r="F17" s="643">
        <v>61904</v>
      </c>
      <c r="G17" s="643">
        <v>57588</v>
      </c>
      <c r="H17" s="644">
        <f>(G17-F17)*100/F17</f>
        <v>-6.972085810286896</v>
      </c>
      <c r="I17" s="56"/>
      <c r="J17" s="487"/>
      <c r="K17" s="56"/>
      <c r="L17" s="56"/>
      <c r="M17" s="56"/>
    </row>
    <row r="18" spans="1:13" ht="20.25" customHeight="1">
      <c r="A18" s="1350"/>
      <c r="B18" s="659" t="s">
        <v>1578</v>
      </c>
      <c r="C18" s="660" t="s">
        <v>1850</v>
      </c>
      <c r="D18" s="642" t="s">
        <v>1849</v>
      </c>
      <c r="E18" s="642" t="s">
        <v>1611</v>
      </c>
      <c r="F18" s="643">
        <v>104589</v>
      </c>
      <c r="G18" s="643">
        <v>88088</v>
      </c>
      <c r="H18" s="644">
        <f>(G18-F18)*100/F18</f>
        <v>-15.77699375651359</v>
      </c>
      <c r="I18" s="56"/>
      <c r="J18" s="478"/>
      <c r="K18" s="56"/>
      <c r="L18" s="56"/>
      <c r="M18" s="56"/>
    </row>
    <row r="19" spans="1:13" ht="18">
      <c r="A19" s="1353"/>
      <c r="B19" s="642" t="s">
        <v>352</v>
      </c>
      <c r="C19" s="641" t="s">
        <v>1746</v>
      </c>
      <c r="D19" s="642" t="s">
        <v>1851</v>
      </c>
      <c r="E19" s="642" t="s">
        <v>1611</v>
      </c>
      <c r="F19" s="643">
        <v>67396</v>
      </c>
      <c r="G19" s="643">
        <v>62662</v>
      </c>
      <c r="H19" s="644">
        <f>(G19-F19)*100/F19</f>
        <v>-7.024155736245475</v>
      </c>
      <c r="I19" s="56"/>
      <c r="J19" s="478"/>
      <c r="K19" s="56"/>
      <c r="L19" s="375"/>
      <c r="M19" s="56"/>
    </row>
    <row r="20" spans="1:13" ht="9.75" customHeight="1">
      <c r="A20" s="642"/>
      <c r="B20" s="640"/>
      <c r="C20" s="489"/>
      <c r="D20" s="254"/>
      <c r="E20" s="489"/>
      <c r="F20" s="662"/>
      <c r="G20" s="662"/>
      <c r="H20" s="663"/>
      <c r="I20" s="56"/>
      <c r="J20" s="153"/>
      <c r="K20" s="56"/>
      <c r="L20" s="56"/>
      <c r="M20" s="56"/>
    </row>
    <row r="21" spans="1:13" ht="36">
      <c r="A21" s="1349" t="s">
        <v>1852</v>
      </c>
      <c r="B21" s="641"/>
      <c r="C21" s="641" t="s">
        <v>835</v>
      </c>
      <c r="D21" s="664"/>
      <c r="E21" s="665"/>
      <c r="F21" s="653"/>
      <c r="G21" s="666"/>
      <c r="H21" s="644"/>
      <c r="I21" s="56"/>
      <c r="J21" s="153"/>
      <c r="K21" s="56"/>
      <c r="L21" s="56"/>
      <c r="M21" s="56"/>
    </row>
    <row r="22" spans="1:13" ht="20.25" customHeight="1">
      <c r="A22" s="1350"/>
      <c r="B22" s="642" t="s">
        <v>71</v>
      </c>
      <c r="C22" s="641" t="s">
        <v>579</v>
      </c>
      <c r="D22" s="642" t="s">
        <v>580</v>
      </c>
      <c r="E22" s="642" t="s">
        <v>1837</v>
      </c>
      <c r="F22" s="643">
        <v>375986</v>
      </c>
      <c r="G22" s="643">
        <v>335828</v>
      </c>
      <c r="H22" s="644">
        <f>(G22-F22)*100/F22</f>
        <v>-10.680716835201311</v>
      </c>
      <c r="I22" s="56"/>
      <c r="J22" s="478"/>
      <c r="K22" s="56"/>
      <c r="L22" s="56"/>
      <c r="M22" s="56"/>
    </row>
    <row r="23" spans="1:13" ht="36.75" customHeight="1">
      <c r="A23" s="1350"/>
      <c r="B23" s="642" t="s">
        <v>1578</v>
      </c>
      <c r="C23" s="641" t="s">
        <v>582</v>
      </c>
      <c r="D23" s="642" t="s">
        <v>581</v>
      </c>
      <c r="E23" s="642" t="s">
        <v>1837</v>
      </c>
      <c r="F23" s="643">
        <v>611998</v>
      </c>
      <c r="G23" s="643">
        <v>507332</v>
      </c>
      <c r="H23" s="644">
        <f>(G23-F23)*100/F23</f>
        <v>-17.102343471710693</v>
      </c>
      <c r="I23" s="56"/>
      <c r="J23" s="478"/>
      <c r="K23" s="56"/>
      <c r="L23" s="56"/>
      <c r="M23" s="56"/>
    </row>
    <row r="24" spans="1:13" ht="21.75" customHeight="1">
      <c r="A24" s="1353"/>
      <c r="B24" s="642" t="s">
        <v>352</v>
      </c>
      <c r="C24" s="641" t="s">
        <v>1746</v>
      </c>
      <c r="D24" s="642" t="s">
        <v>583</v>
      </c>
      <c r="E24" s="642" t="s">
        <v>1611</v>
      </c>
      <c r="F24" s="643">
        <v>425051</v>
      </c>
      <c r="G24" s="643">
        <v>378854</v>
      </c>
      <c r="H24" s="644">
        <f>(G24-F24)*100/F24</f>
        <v>-10.868578123566348</v>
      </c>
      <c r="I24" s="56"/>
      <c r="J24" s="478"/>
      <c r="K24" s="56"/>
      <c r="L24" s="375"/>
      <c r="M24" s="56"/>
    </row>
    <row r="25" spans="1:13" ht="9.75" customHeight="1">
      <c r="A25" s="642"/>
      <c r="B25" s="667"/>
      <c r="C25" s="668"/>
      <c r="D25" s="669"/>
      <c r="E25" s="668"/>
      <c r="F25" s="670"/>
      <c r="G25" s="670"/>
      <c r="H25" s="644"/>
      <c r="I25" s="56"/>
      <c r="J25" s="153"/>
      <c r="K25" s="56"/>
      <c r="L25" s="56"/>
      <c r="M25" s="56"/>
    </row>
    <row r="26" spans="1:13" ht="37.5" customHeight="1">
      <c r="A26" s="625" t="s">
        <v>584</v>
      </c>
      <c r="B26" s="671"/>
      <c r="C26" s="641" t="s">
        <v>733</v>
      </c>
      <c r="D26" s="642" t="s">
        <v>734</v>
      </c>
      <c r="E26" s="642" t="s">
        <v>1837</v>
      </c>
      <c r="F26" s="643">
        <v>251645</v>
      </c>
      <c r="G26" s="643">
        <v>217937</v>
      </c>
      <c r="H26" s="644">
        <f>(G26-F26)*100/F26</f>
        <v>-13.395060501897515</v>
      </c>
      <c r="I26" s="56"/>
      <c r="J26" s="478"/>
      <c r="K26" s="56"/>
      <c r="L26" s="94"/>
      <c r="M26" s="56"/>
    </row>
    <row r="27" spans="1:13" ht="9.75" customHeight="1">
      <c r="A27" s="642"/>
      <c r="B27" s="667"/>
      <c r="C27" s="668"/>
      <c r="D27" s="669"/>
      <c r="E27" s="668"/>
      <c r="F27" s="670"/>
      <c r="G27" s="670"/>
      <c r="H27" s="644"/>
      <c r="I27" s="56"/>
      <c r="J27" s="56"/>
      <c r="K27" s="56"/>
      <c r="L27" s="56"/>
      <c r="M27" s="56"/>
    </row>
    <row r="28" spans="1:13" ht="18">
      <c r="A28" s="1349" t="s">
        <v>735</v>
      </c>
      <c r="B28" s="671"/>
      <c r="C28" s="641" t="s">
        <v>1747</v>
      </c>
      <c r="D28" s="642" t="s">
        <v>736</v>
      </c>
      <c r="E28" s="642"/>
      <c r="F28" s="643"/>
      <c r="G28" s="643"/>
      <c r="H28" s="644"/>
      <c r="I28" s="56"/>
      <c r="J28" s="56"/>
      <c r="K28" s="56"/>
      <c r="L28" s="56"/>
      <c r="M28" s="56"/>
    </row>
    <row r="29" spans="1:13" ht="37.5" customHeight="1">
      <c r="A29" s="1353"/>
      <c r="B29" s="642" t="s">
        <v>71</v>
      </c>
      <c r="C29" s="641" t="s">
        <v>582</v>
      </c>
      <c r="D29" s="642" t="s">
        <v>1748</v>
      </c>
      <c r="E29" s="642" t="s">
        <v>737</v>
      </c>
      <c r="F29" s="643">
        <v>35554</v>
      </c>
      <c r="G29" s="643">
        <v>28510</v>
      </c>
      <c r="H29" s="644">
        <f>(G29-F29)*100/F29</f>
        <v>-19.81211678010913</v>
      </c>
      <c r="I29" s="56"/>
      <c r="J29" s="56"/>
      <c r="K29" s="56"/>
      <c r="L29" s="56"/>
      <c r="M29" s="56"/>
    </row>
    <row r="30" spans="1:13" ht="9.75" customHeight="1">
      <c r="A30" s="625"/>
      <c r="B30" s="672"/>
      <c r="C30" s="673"/>
      <c r="D30" s="674"/>
      <c r="E30" s="674"/>
      <c r="F30" s="675"/>
      <c r="G30" s="675"/>
      <c r="H30" s="644"/>
      <c r="I30" s="56"/>
      <c r="J30" s="56"/>
      <c r="K30" s="56"/>
      <c r="L30" s="56"/>
      <c r="M30" s="56"/>
    </row>
    <row r="31" spans="1:13" ht="54" customHeight="1">
      <c r="A31" s="1349" t="s">
        <v>738</v>
      </c>
      <c r="B31" s="672"/>
      <c r="C31" s="673" t="s">
        <v>836</v>
      </c>
      <c r="D31" s="674" t="s">
        <v>462</v>
      </c>
      <c r="E31" s="674"/>
      <c r="F31" s="675"/>
      <c r="G31" s="675"/>
      <c r="H31" s="644"/>
      <c r="I31" s="56"/>
      <c r="J31" s="56"/>
      <c r="K31" s="56"/>
      <c r="L31" s="56"/>
      <c r="M31" s="56"/>
    </row>
    <row r="32" spans="1:13" ht="36.75" customHeight="1">
      <c r="A32" s="1353"/>
      <c r="B32" s="642" t="s">
        <v>71</v>
      </c>
      <c r="C32" s="641" t="s">
        <v>582</v>
      </c>
      <c r="D32" s="674" t="s">
        <v>1749</v>
      </c>
      <c r="E32" s="674" t="s">
        <v>1837</v>
      </c>
      <c r="F32" s="676">
        <v>1721183</v>
      </c>
      <c r="G32" s="643">
        <v>1418591</v>
      </c>
      <c r="H32" s="644">
        <f>(G32-F32)*100/F32</f>
        <v>-17.580466458244125</v>
      </c>
      <c r="I32" s="56"/>
      <c r="J32" s="56"/>
      <c r="K32" s="56"/>
      <c r="L32" s="56"/>
      <c r="M32" s="56"/>
    </row>
    <row r="33" spans="1:13" ht="9.75" customHeight="1">
      <c r="A33" s="642"/>
      <c r="B33" s="677"/>
      <c r="C33" s="678"/>
      <c r="D33" s="679"/>
      <c r="E33" s="678"/>
      <c r="F33" s="680"/>
      <c r="G33" s="680"/>
      <c r="H33" s="644"/>
      <c r="I33" s="56"/>
      <c r="J33" s="56"/>
      <c r="K33" s="56"/>
      <c r="L33" s="56"/>
      <c r="M33" s="56"/>
    </row>
    <row r="34" spans="1:13" ht="34.5" customHeight="1">
      <c r="A34" s="1349" t="s">
        <v>463</v>
      </c>
      <c r="B34" s="671"/>
      <c r="C34" s="641" t="s">
        <v>837</v>
      </c>
      <c r="D34" s="642" t="s">
        <v>464</v>
      </c>
      <c r="F34" s="643"/>
      <c r="G34" s="643"/>
      <c r="H34" s="644"/>
      <c r="I34" s="56"/>
      <c r="J34" s="56"/>
      <c r="K34" s="56"/>
      <c r="L34" s="56"/>
      <c r="M34" s="56"/>
    </row>
    <row r="35" spans="1:13" ht="36.75" customHeight="1">
      <c r="A35" s="1353"/>
      <c r="B35" s="642" t="s">
        <v>71</v>
      </c>
      <c r="C35" s="641" t="s">
        <v>582</v>
      </c>
      <c r="D35" s="642" t="s">
        <v>239</v>
      </c>
      <c r="E35" s="642" t="s">
        <v>1611</v>
      </c>
      <c r="F35" s="643">
        <v>120212</v>
      </c>
      <c r="G35" s="643">
        <v>102479</v>
      </c>
      <c r="H35" s="644">
        <f>(G35-F35)*100/F35</f>
        <v>-14.751439124213888</v>
      </c>
      <c r="I35" s="56"/>
      <c r="J35" s="56"/>
      <c r="K35" s="56"/>
      <c r="L35" s="56"/>
      <c r="M35" s="56"/>
    </row>
    <row r="36" spans="1:13" ht="9.75" customHeight="1">
      <c r="A36" s="661"/>
      <c r="B36" s="681"/>
      <c r="C36" s="489"/>
      <c r="D36" s="682"/>
      <c r="E36" s="682"/>
      <c r="F36" s="683"/>
      <c r="G36" s="683"/>
      <c r="H36" s="684"/>
      <c r="I36" s="56"/>
      <c r="J36" s="56"/>
      <c r="K36" s="56"/>
      <c r="L36" s="56"/>
      <c r="M36" s="56"/>
    </row>
    <row r="37" spans="1:13" ht="90.75" customHeight="1">
      <c r="A37" s="1349" t="s">
        <v>465</v>
      </c>
      <c r="B37" s="677"/>
      <c r="C37" s="641" t="s">
        <v>373</v>
      </c>
      <c r="D37" s="642" t="s">
        <v>466</v>
      </c>
      <c r="E37" s="642" t="s">
        <v>467</v>
      </c>
      <c r="F37" s="685"/>
      <c r="G37" s="685"/>
      <c r="H37" s="644"/>
      <c r="I37" s="56"/>
      <c r="J37" s="56"/>
      <c r="K37" s="56"/>
      <c r="L37" s="56"/>
      <c r="M37" s="56"/>
    </row>
    <row r="38" spans="1:13" ht="18">
      <c r="A38" s="1350"/>
      <c r="B38" s="686" t="s">
        <v>1788</v>
      </c>
      <c r="C38" s="641" t="s">
        <v>2270</v>
      </c>
      <c r="D38" s="642"/>
      <c r="E38" s="642"/>
      <c r="F38" s="738"/>
      <c r="G38" s="738"/>
      <c r="H38" s="644"/>
      <c r="I38" s="1351" t="s">
        <v>2191</v>
      </c>
      <c r="J38" s="56"/>
      <c r="K38" s="56"/>
      <c r="L38" s="56"/>
      <c r="M38" s="56"/>
    </row>
    <row r="39" spans="1:13" ht="18">
      <c r="A39" s="1350"/>
      <c r="B39" s="686" t="s">
        <v>71</v>
      </c>
      <c r="C39" s="641" t="s">
        <v>468</v>
      </c>
      <c r="D39" s="642" t="s">
        <v>469</v>
      </c>
      <c r="E39" s="642" t="s">
        <v>467</v>
      </c>
      <c r="F39" s="643">
        <v>0</v>
      </c>
      <c r="G39" s="643">
        <v>1036752</v>
      </c>
      <c r="H39" s="644"/>
      <c r="I39" s="1351"/>
      <c r="J39" s="56"/>
      <c r="K39" s="56"/>
      <c r="L39" s="56"/>
      <c r="M39" s="56"/>
    </row>
    <row r="40" spans="1:13" ht="18">
      <c r="A40" s="1350"/>
      <c r="B40" s="645" t="s">
        <v>1578</v>
      </c>
      <c r="C40" s="641" t="s">
        <v>2090</v>
      </c>
      <c r="D40" s="642" t="s">
        <v>2091</v>
      </c>
      <c r="E40" s="642" t="s">
        <v>467</v>
      </c>
      <c r="F40" s="643">
        <v>0</v>
      </c>
      <c r="G40" s="643">
        <v>1158328</v>
      </c>
      <c r="H40" s="644"/>
      <c r="I40" s="1351"/>
      <c r="J40" s="56"/>
      <c r="K40" s="56"/>
      <c r="L40" s="56"/>
      <c r="M40" s="56"/>
    </row>
    <row r="41" spans="1:13" ht="18">
      <c r="A41" s="1350"/>
      <c r="B41" s="686" t="s">
        <v>1790</v>
      </c>
      <c r="C41" s="641" t="s">
        <v>372</v>
      </c>
      <c r="D41" s="642"/>
      <c r="E41" s="642"/>
      <c r="F41" s="685"/>
      <c r="G41" s="685"/>
      <c r="H41" s="644"/>
      <c r="I41" s="56"/>
      <c r="J41" s="56"/>
      <c r="K41" s="56"/>
      <c r="L41" s="56"/>
      <c r="M41" s="56"/>
    </row>
    <row r="42" spans="1:13" ht="18.75" customHeight="1">
      <c r="A42" s="1350"/>
      <c r="B42" s="686" t="s">
        <v>71</v>
      </c>
      <c r="C42" s="641" t="s">
        <v>468</v>
      </c>
      <c r="D42" s="642" t="s">
        <v>375</v>
      </c>
      <c r="E42" s="642" t="s">
        <v>467</v>
      </c>
      <c r="F42" s="643">
        <v>2103398</v>
      </c>
      <c r="G42" s="643">
        <v>2526667</v>
      </c>
      <c r="H42" s="644">
        <f>(G42-F42)*100/F42</f>
        <v>20.123105565375646</v>
      </c>
      <c r="I42" s="56"/>
      <c r="J42" s="415"/>
      <c r="K42" s="56"/>
      <c r="L42" s="414"/>
      <c r="M42" s="415"/>
    </row>
    <row r="43" spans="1:13" ht="20.25" customHeight="1">
      <c r="A43" s="1350"/>
      <c r="B43" s="645" t="s">
        <v>1578</v>
      </c>
      <c r="C43" s="641" t="s">
        <v>2090</v>
      </c>
      <c r="D43" s="642" t="s">
        <v>374</v>
      </c>
      <c r="E43" s="642" t="s">
        <v>467</v>
      </c>
      <c r="F43" s="643">
        <v>2195764</v>
      </c>
      <c r="G43" s="643">
        <v>2648242</v>
      </c>
      <c r="H43" s="644">
        <f>(G43-F43)*100/F43</f>
        <v>20.60685938926041</v>
      </c>
      <c r="I43" s="56"/>
      <c r="J43" s="415"/>
      <c r="K43" s="56"/>
      <c r="L43" s="416"/>
      <c r="M43" s="415"/>
    </row>
    <row r="44" spans="1:13" ht="10.5" customHeight="1">
      <c r="A44" s="642"/>
      <c r="B44" s="687"/>
      <c r="C44" s="688"/>
      <c r="D44" s="689"/>
      <c r="E44" s="690"/>
      <c r="F44" s="691"/>
      <c r="G44" s="691"/>
      <c r="H44" s="644"/>
      <c r="I44" s="56"/>
      <c r="J44" s="56"/>
      <c r="K44" s="374"/>
      <c r="L44" s="488"/>
      <c r="M44" s="56"/>
    </row>
    <row r="45" spans="1:13" ht="57.75" customHeight="1">
      <c r="A45" s="625" t="s">
        <v>2092</v>
      </c>
      <c r="B45" s="671"/>
      <c r="C45" s="641" t="s">
        <v>1488</v>
      </c>
      <c r="D45" s="642" t="s">
        <v>1489</v>
      </c>
      <c r="E45" s="642" t="s">
        <v>1490</v>
      </c>
      <c r="F45" s="643">
        <v>622517</v>
      </c>
      <c r="G45" s="643">
        <v>621183</v>
      </c>
      <c r="H45" s="644">
        <f>(G45-F45)*100/F45</f>
        <v>-0.2142913366221324</v>
      </c>
      <c r="I45" s="56"/>
      <c r="J45" s="56"/>
      <c r="K45" s="374"/>
      <c r="L45" s="414"/>
      <c r="M45" s="56"/>
    </row>
    <row r="46" spans="1:13" ht="21.75" customHeight="1">
      <c r="A46" s="1352" t="s">
        <v>1491</v>
      </c>
      <c r="B46" s="671"/>
      <c r="C46" s="641" t="s">
        <v>1515</v>
      </c>
      <c r="D46" s="642"/>
      <c r="E46" s="688"/>
      <c r="F46" s="691"/>
      <c r="G46" s="691"/>
      <c r="H46" s="644"/>
      <c r="I46" s="56"/>
      <c r="J46" s="56"/>
      <c r="K46" s="374"/>
      <c r="L46" s="56"/>
      <c r="M46" s="56"/>
    </row>
    <row r="47" spans="1:13" ht="36">
      <c r="A47" s="1352"/>
      <c r="B47" s="642"/>
      <c r="C47" s="641" t="s">
        <v>1750</v>
      </c>
      <c r="D47" s="642" t="s">
        <v>1516</v>
      </c>
      <c r="E47" s="642"/>
      <c r="F47" s="643"/>
      <c r="G47" s="643"/>
      <c r="H47" s="644"/>
      <c r="I47" s="56"/>
      <c r="J47" s="56"/>
      <c r="K47" s="56"/>
      <c r="L47" s="56"/>
      <c r="M47" s="56"/>
    </row>
    <row r="48" spans="1:13" ht="18">
      <c r="A48" s="1352"/>
      <c r="B48" s="642" t="s">
        <v>71</v>
      </c>
      <c r="C48" s="641" t="s">
        <v>1517</v>
      </c>
      <c r="D48" s="642" t="s">
        <v>1518</v>
      </c>
      <c r="E48" s="642" t="s">
        <v>1490</v>
      </c>
      <c r="F48" s="643">
        <v>193119</v>
      </c>
      <c r="G48" s="643">
        <v>181872</v>
      </c>
      <c r="H48" s="644">
        <f>(G48-F48)*100/F48</f>
        <v>-5.823870256163298</v>
      </c>
      <c r="I48" s="56"/>
      <c r="J48" s="56"/>
      <c r="K48" s="56"/>
      <c r="L48" s="56"/>
      <c r="M48" s="56"/>
    </row>
    <row r="49" spans="1:13" ht="18">
      <c r="A49" s="1352"/>
      <c r="B49" s="642" t="s">
        <v>1578</v>
      </c>
      <c r="C49" s="641" t="s">
        <v>1519</v>
      </c>
      <c r="D49" s="642" t="s">
        <v>1520</v>
      </c>
      <c r="E49" s="642" t="s">
        <v>1490</v>
      </c>
      <c r="F49" s="643">
        <v>215997</v>
      </c>
      <c r="G49" s="643">
        <v>204432</v>
      </c>
      <c r="H49" s="644">
        <f>(G49-F49)*100/F49</f>
        <v>-5.354241031125432</v>
      </c>
      <c r="I49" s="56"/>
      <c r="J49" s="56"/>
      <c r="K49" s="56"/>
      <c r="L49" s="56"/>
      <c r="M49" s="56"/>
    </row>
    <row r="50" spans="1:13" ht="9.75" customHeight="1">
      <c r="A50" s="640"/>
      <c r="B50" s="652"/>
      <c r="C50" s="665"/>
      <c r="D50" s="692"/>
      <c r="E50" s="665"/>
      <c r="F50" s="653"/>
      <c r="G50" s="653"/>
      <c r="H50" s="644"/>
      <c r="I50" s="56"/>
      <c r="J50" s="56"/>
      <c r="K50" s="56"/>
      <c r="L50" s="56"/>
      <c r="M50" s="56"/>
    </row>
    <row r="51" spans="1:13" ht="36">
      <c r="A51" s="1352" t="s">
        <v>1521</v>
      </c>
      <c r="B51" s="655"/>
      <c r="C51" s="641" t="s">
        <v>838</v>
      </c>
      <c r="D51" s="657"/>
      <c r="E51" s="656"/>
      <c r="F51" s="653"/>
      <c r="G51" s="653"/>
      <c r="H51" s="644"/>
      <c r="I51" s="56"/>
      <c r="J51" s="56"/>
      <c r="L51" s="56"/>
      <c r="M51" s="56"/>
    </row>
    <row r="52" spans="1:13" ht="18">
      <c r="A52" s="1352"/>
      <c r="B52" s="642" t="s">
        <v>71</v>
      </c>
      <c r="C52" s="641" t="s">
        <v>1847</v>
      </c>
      <c r="D52" s="642" t="s">
        <v>1522</v>
      </c>
      <c r="E52" s="642" t="s">
        <v>1611</v>
      </c>
      <c r="F52" s="643">
        <v>87526</v>
      </c>
      <c r="G52" s="643">
        <v>81715</v>
      </c>
      <c r="H52" s="644">
        <f>(G52-F52)*100/F52</f>
        <v>-6.6391700751776614</v>
      </c>
      <c r="I52" s="56"/>
      <c r="J52" s="56"/>
      <c r="K52" s="374"/>
      <c r="L52" s="56"/>
      <c r="M52" s="56"/>
    </row>
    <row r="53" spans="1:13" ht="21.75" customHeight="1">
      <c r="A53" s="1352"/>
      <c r="B53" s="642" t="s">
        <v>1578</v>
      </c>
      <c r="C53" s="641" t="s">
        <v>1850</v>
      </c>
      <c r="D53" s="642" t="s">
        <v>1523</v>
      </c>
      <c r="E53" s="642" t="s">
        <v>1611</v>
      </c>
      <c r="F53" s="643">
        <v>124266</v>
      </c>
      <c r="G53" s="643">
        <v>106547</v>
      </c>
      <c r="H53" s="644">
        <f>(G53-F53)*100/F53</f>
        <v>-14.258928427727616</v>
      </c>
      <c r="I53" s="56"/>
      <c r="J53" s="56"/>
      <c r="K53" s="374"/>
      <c r="L53" s="56"/>
      <c r="M53" s="56"/>
    </row>
    <row r="54" spans="1:13" ht="9.75" customHeight="1">
      <c r="A54" s="640"/>
      <c r="B54" s="693"/>
      <c r="C54" s="665"/>
      <c r="D54" s="693"/>
      <c r="E54" s="693"/>
      <c r="F54" s="653"/>
      <c r="G54" s="653"/>
      <c r="H54" s="644"/>
      <c r="I54" s="56"/>
      <c r="J54" s="56"/>
      <c r="K54" s="56"/>
      <c r="L54" s="56"/>
      <c r="M54" s="56"/>
    </row>
    <row r="55" spans="1:13" ht="36">
      <c r="A55" s="1352" t="s">
        <v>1213</v>
      </c>
      <c r="B55" s="693"/>
      <c r="C55" s="665" t="s">
        <v>1612</v>
      </c>
      <c r="D55" s="693"/>
      <c r="E55" s="693"/>
      <c r="F55" s="653"/>
      <c r="G55" s="653"/>
      <c r="H55" s="644"/>
      <c r="I55" s="56"/>
      <c r="J55" s="56"/>
      <c r="K55" s="56"/>
      <c r="L55" s="56"/>
      <c r="M55" s="56"/>
    </row>
    <row r="56" spans="1:13" ht="18">
      <c r="A56" s="1352"/>
      <c r="B56" s="642" t="s">
        <v>71</v>
      </c>
      <c r="C56" s="665" t="s">
        <v>1613</v>
      </c>
      <c r="D56" s="642" t="s">
        <v>1615</v>
      </c>
      <c r="E56" s="642" t="s">
        <v>1490</v>
      </c>
      <c r="F56" s="643">
        <v>135248</v>
      </c>
      <c r="G56" s="643">
        <v>124984</v>
      </c>
      <c r="H56" s="644">
        <f>(G56-F56)*100/F56</f>
        <v>-7.589021649118656</v>
      </c>
      <c r="I56" s="56"/>
      <c r="J56" s="56"/>
      <c r="K56" s="56"/>
      <c r="L56" s="56"/>
      <c r="M56" s="56"/>
    </row>
    <row r="57" spans="1:13" ht="18">
      <c r="A57" s="1352"/>
      <c r="B57" s="642" t="s">
        <v>1578</v>
      </c>
      <c r="C57" s="665" t="s">
        <v>1614</v>
      </c>
      <c r="D57" s="642" t="s">
        <v>1616</v>
      </c>
      <c r="E57" s="642" t="s">
        <v>1490</v>
      </c>
      <c r="F57" s="643">
        <v>140303</v>
      </c>
      <c r="G57" s="643">
        <v>129998</v>
      </c>
      <c r="H57" s="644">
        <f>(G57-F57)*100/F57</f>
        <v>-7.344818001040605</v>
      </c>
      <c r="I57" s="56"/>
      <c r="J57" s="56"/>
      <c r="K57" s="56"/>
      <c r="L57" s="56"/>
      <c r="M57" s="56"/>
    </row>
    <row r="58" spans="1:13" ht="9.75" customHeight="1">
      <c r="A58" s="640"/>
      <c r="B58" s="693"/>
      <c r="C58" s="665"/>
      <c r="D58" s="693"/>
      <c r="E58" s="693"/>
      <c r="F58" s="653"/>
      <c r="G58" s="653"/>
      <c r="H58" s="644"/>
      <c r="I58" s="56"/>
      <c r="J58" s="56"/>
      <c r="K58" s="56"/>
      <c r="L58" s="56"/>
      <c r="M58" s="56"/>
    </row>
    <row r="59" spans="1:13" ht="108">
      <c r="A59" s="1352" t="s">
        <v>1215</v>
      </c>
      <c r="B59" s="693"/>
      <c r="C59" s="665" t="s">
        <v>1565</v>
      </c>
      <c r="D59" s="642" t="s">
        <v>1566</v>
      </c>
      <c r="E59" s="693"/>
      <c r="F59" s="653"/>
      <c r="G59" s="653"/>
      <c r="H59" s="644"/>
      <c r="I59" s="45"/>
      <c r="J59" s="45"/>
      <c r="K59" s="56"/>
      <c r="L59" s="56"/>
      <c r="M59" s="56"/>
    </row>
    <row r="60" spans="1:13" ht="18" customHeight="1">
      <c r="A60" s="1352"/>
      <c r="B60" s="686" t="s">
        <v>71</v>
      </c>
      <c r="C60" s="641" t="s">
        <v>468</v>
      </c>
      <c r="D60" s="642" t="s">
        <v>1567</v>
      </c>
      <c r="E60" s="642" t="s">
        <v>467</v>
      </c>
      <c r="F60" s="694">
        <v>0</v>
      </c>
      <c r="G60" s="643">
        <v>906066.3081504272</v>
      </c>
      <c r="H60" s="644"/>
      <c r="I60" s="1370" t="s">
        <v>2191</v>
      </c>
      <c r="J60" s="633"/>
      <c r="K60" s="633"/>
      <c r="M60" s="56"/>
    </row>
    <row r="61" spans="1:13" ht="18" customHeight="1">
      <c r="A61" s="1352"/>
      <c r="B61" s="645" t="s">
        <v>1578</v>
      </c>
      <c r="C61" s="641" t="s">
        <v>2090</v>
      </c>
      <c r="D61" s="642" t="s">
        <v>1568</v>
      </c>
      <c r="E61" s="642" t="s">
        <v>467</v>
      </c>
      <c r="F61" s="694">
        <v>0</v>
      </c>
      <c r="G61" s="643">
        <v>1027642.032550427</v>
      </c>
      <c r="H61" s="644"/>
      <c r="I61" s="1370"/>
      <c r="J61" s="633"/>
      <c r="K61" s="633"/>
      <c r="L61" s="56"/>
      <c r="M61" s="56"/>
    </row>
    <row r="62" spans="1:13" ht="9.75" customHeight="1">
      <c r="A62" s="640"/>
      <c r="B62" s="693"/>
      <c r="C62" s="665"/>
      <c r="D62" s="693"/>
      <c r="E62" s="693"/>
      <c r="F62" s="653"/>
      <c r="G62" s="653"/>
      <c r="H62" s="644"/>
      <c r="I62" s="56"/>
      <c r="J62" s="56"/>
      <c r="K62" s="56"/>
      <c r="L62" s="56"/>
      <c r="M62" s="56"/>
    </row>
    <row r="63" spans="1:13" ht="18">
      <c r="A63" s="1354" t="s">
        <v>0</v>
      </c>
      <c r="B63" s="1355"/>
      <c r="C63" s="1355"/>
      <c r="D63" s="638"/>
      <c r="E63" s="695"/>
      <c r="F63" s="691"/>
      <c r="G63" s="691"/>
      <c r="H63" s="644"/>
      <c r="I63" s="56"/>
      <c r="J63" s="56"/>
      <c r="K63" s="56"/>
      <c r="L63" s="56"/>
      <c r="M63" s="56"/>
    </row>
    <row r="64" spans="1:13" ht="9.75" customHeight="1">
      <c r="A64" s="642"/>
      <c r="B64" s="641"/>
      <c r="C64" s="641"/>
      <c r="D64" s="664"/>
      <c r="E64" s="665"/>
      <c r="F64" s="653"/>
      <c r="G64" s="653"/>
      <c r="H64" s="644"/>
      <c r="I64" s="56"/>
      <c r="J64" s="56"/>
      <c r="K64" s="56"/>
      <c r="L64" s="56"/>
      <c r="M64" s="56"/>
    </row>
    <row r="65" spans="1:13" ht="18">
      <c r="A65" s="1356" t="s">
        <v>731</v>
      </c>
      <c r="B65" s="671"/>
      <c r="C65" s="641" t="s">
        <v>1</v>
      </c>
      <c r="D65" s="664"/>
      <c r="E65" s="665"/>
      <c r="F65" s="653"/>
      <c r="G65" s="653"/>
      <c r="H65" s="644"/>
      <c r="I65" s="56"/>
      <c r="J65" s="56"/>
      <c r="K65" s="56"/>
      <c r="L65" s="56"/>
      <c r="M65" s="56"/>
    </row>
    <row r="66" spans="1:13" ht="11.25" customHeight="1">
      <c r="A66" s="1357"/>
      <c r="B66" s="696"/>
      <c r="C66" s="697"/>
      <c r="D66" s="698"/>
      <c r="E66" s="697"/>
      <c r="F66" s="699"/>
      <c r="G66" s="699"/>
      <c r="H66" s="644"/>
      <c r="I66" s="56"/>
      <c r="J66" s="56"/>
      <c r="K66" s="56"/>
      <c r="L66" s="56"/>
      <c r="M66" s="56"/>
    </row>
    <row r="67" spans="1:13" ht="36">
      <c r="A67" s="1357"/>
      <c r="B67" s="642" t="s">
        <v>71</v>
      </c>
      <c r="C67" s="641" t="s">
        <v>2</v>
      </c>
      <c r="D67" s="642" t="s">
        <v>3</v>
      </c>
      <c r="E67" s="642" t="s">
        <v>1611</v>
      </c>
      <c r="F67" s="643">
        <v>6838505</v>
      </c>
      <c r="G67" s="643">
        <v>6866103</v>
      </c>
      <c r="H67" s="644">
        <f>(G67-F67)*100/F67</f>
        <v>0.40356773885520303</v>
      </c>
      <c r="I67" s="56"/>
      <c r="J67" s="56"/>
      <c r="K67" s="56"/>
      <c r="L67" s="56"/>
      <c r="M67" s="56"/>
    </row>
    <row r="68" spans="1:13" ht="11.25" customHeight="1">
      <c r="A68" s="1357"/>
      <c r="B68" s="640"/>
      <c r="C68" s="489"/>
      <c r="D68" s="254"/>
      <c r="E68" s="489"/>
      <c r="F68" s="662"/>
      <c r="G68" s="662"/>
      <c r="H68" s="644"/>
      <c r="I68" s="56"/>
      <c r="J68" s="56"/>
      <c r="K68" s="56"/>
      <c r="L68" s="56"/>
      <c r="M68" s="56"/>
    </row>
    <row r="69" spans="1:13" ht="37.5" customHeight="1">
      <c r="A69" s="1357"/>
      <c r="B69" s="642" t="s">
        <v>1578</v>
      </c>
      <c r="C69" s="641" t="s">
        <v>1504</v>
      </c>
      <c r="D69" s="642" t="s">
        <v>1505</v>
      </c>
      <c r="E69" s="642" t="s">
        <v>1611</v>
      </c>
      <c r="F69" s="643">
        <v>8634577</v>
      </c>
      <c r="G69" s="643">
        <v>8595749</v>
      </c>
      <c r="H69" s="644">
        <f>(G69-F69)*100/F69</f>
        <v>-0.44968039546117894</v>
      </c>
      <c r="I69" s="56"/>
      <c r="J69" s="56"/>
      <c r="K69" s="56"/>
      <c r="L69" s="414"/>
      <c r="M69" s="56"/>
    </row>
    <row r="70" spans="1:13" ht="11.25" customHeight="1">
      <c r="A70" s="1357"/>
      <c r="B70" s="640"/>
      <c r="C70" s="489"/>
      <c r="D70" s="254"/>
      <c r="E70" s="489"/>
      <c r="F70" s="662"/>
      <c r="G70" s="662"/>
      <c r="H70" s="644"/>
      <c r="I70" s="56"/>
      <c r="J70" s="56"/>
      <c r="K70" s="56"/>
      <c r="L70" s="56"/>
      <c r="M70" s="56"/>
    </row>
    <row r="71" spans="1:13" ht="39" customHeight="1">
      <c r="A71" s="1358"/>
      <c r="B71" s="642" t="s">
        <v>352</v>
      </c>
      <c r="C71" s="641" t="s">
        <v>1506</v>
      </c>
      <c r="D71" s="642" t="s">
        <v>1507</v>
      </c>
      <c r="E71" s="642" t="s">
        <v>1611</v>
      </c>
      <c r="F71" s="643">
        <v>10161052</v>
      </c>
      <c r="G71" s="643">
        <v>10290155</v>
      </c>
      <c r="H71" s="644">
        <f>(G71-F71)*100/F71</f>
        <v>1.2705672601616447</v>
      </c>
      <c r="I71" s="56"/>
      <c r="J71" s="56"/>
      <c r="K71" s="56"/>
      <c r="L71" s="414"/>
      <c r="M71" s="56"/>
    </row>
    <row r="72" spans="1:13" ht="9.75" customHeight="1">
      <c r="A72" s="700"/>
      <c r="B72" s="701"/>
      <c r="C72" s="702"/>
      <c r="D72" s="703"/>
      <c r="E72" s="702"/>
      <c r="F72" s="704"/>
      <c r="G72" s="704"/>
      <c r="H72" s="644"/>
      <c r="I72" s="418"/>
      <c r="J72" s="418"/>
      <c r="K72" s="418"/>
      <c r="L72" s="418"/>
      <c r="M72" s="418"/>
    </row>
    <row r="73" spans="1:13" ht="18">
      <c r="A73" s="1356" t="s">
        <v>1841</v>
      </c>
      <c r="B73" s="641"/>
      <c r="C73" s="641" t="s">
        <v>1545</v>
      </c>
      <c r="D73" s="664"/>
      <c r="E73" s="665"/>
      <c r="F73" s="653"/>
      <c r="G73" s="653"/>
      <c r="H73" s="644"/>
      <c r="I73" s="56"/>
      <c r="J73" s="366"/>
      <c r="K73" s="56"/>
      <c r="L73" s="56"/>
      <c r="M73" s="56"/>
    </row>
    <row r="74" spans="1:13" ht="18">
      <c r="A74" s="1357"/>
      <c r="B74" s="642" t="s">
        <v>71</v>
      </c>
      <c r="C74" s="641" t="s">
        <v>906</v>
      </c>
      <c r="D74" s="642" t="s">
        <v>968</v>
      </c>
      <c r="E74" s="642" t="s">
        <v>1611</v>
      </c>
      <c r="F74" s="643">
        <v>965128</v>
      </c>
      <c r="G74" s="643">
        <v>933187</v>
      </c>
      <c r="H74" s="644">
        <f>(G74-F74)*100/F74</f>
        <v>-3.309509204996643</v>
      </c>
      <c r="I74" s="56"/>
      <c r="J74" s="56"/>
      <c r="K74" s="56"/>
      <c r="L74" s="56"/>
      <c r="M74" s="56"/>
    </row>
    <row r="75" spans="1:13" ht="20.25" customHeight="1">
      <c r="A75" s="1357"/>
      <c r="B75" s="642" t="s">
        <v>1578</v>
      </c>
      <c r="C75" s="641" t="s">
        <v>907</v>
      </c>
      <c r="D75" s="642" t="s">
        <v>969</v>
      </c>
      <c r="E75" s="642" t="s">
        <v>1611</v>
      </c>
      <c r="F75" s="643">
        <v>2367879</v>
      </c>
      <c r="G75" s="643">
        <v>2283793</v>
      </c>
      <c r="H75" s="644">
        <f>(G75-F75)*100/F75</f>
        <v>-3.5511105086028465</v>
      </c>
      <c r="I75" s="56"/>
      <c r="J75" s="56"/>
      <c r="K75" s="56"/>
      <c r="L75" s="414"/>
      <c r="M75" s="56"/>
    </row>
    <row r="76" spans="1:13" ht="19.5" customHeight="1">
      <c r="A76" s="1358"/>
      <c r="B76" s="642" t="s">
        <v>352</v>
      </c>
      <c r="C76" s="641" t="s">
        <v>908</v>
      </c>
      <c r="D76" s="642" t="s">
        <v>970</v>
      </c>
      <c r="E76" s="642" t="s">
        <v>1611</v>
      </c>
      <c r="F76" s="643">
        <v>3359986</v>
      </c>
      <c r="G76" s="643">
        <v>3239383</v>
      </c>
      <c r="H76" s="644">
        <f>(G76-F76)*100/F76</f>
        <v>-3.5893899557914826</v>
      </c>
      <c r="I76" s="56"/>
      <c r="J76" s="56"/>
      <c r="K76" s="56"/>
      <c r="L76" s="414"/>
      <c r="M76" s="56"/>
    </row>
    <row r="77" spans="1:13" ht="9.75" customHeight="1">
      <c r="A77" s="705"/>
      <c r="B77" s="701"/>
      <c r="C77" s="702"/>
      <c r="D77" s="703"/>
      <c r="E77" s="702"/>
      <c r="F77" s="704"/>
      <c r="G77" s="704"/>
      <c r="H77" s="644"/>
      <c r="I77" s="418"/>
      <c r="J77" s="418"/>
      <c r="K77" s="418"/>
      <c r="L77" s="418"/>
      <c r="M77" s="418"/>
    </row>
    <row r="78" spans="1:13" ht="54">
      <c r="A78" s="1349" t="s">
        <v>1846</v>
      </c>
      <c r="B78" s="641"/>
      <c r="C78" s="641" t="s">
        <v>971</v>
      </c>
      <c r="D78" s="664"/>
      <c r="E78" s="665"/>
      <c r="F78" s="653"/>
      <c r="G78" s="653"/>
      <c r="H78" s="644"/>
      <c r="I78" s="56"/>
      <c r="J78" s="56"/>
      <c r="K78" s="56"/>
      <c r="L78" s="56"/>
      <c r="M78" s="56"/>
    </row>
    <row r="79" spans="1:13" ht="18" customHeight="1">
      <c r="A79" s="1357"/>
      <c r="B79" s="686" t="s">
        <v>71</v>
      </c>
      <c r="C79" s="706" t="s">
        <v>906</v>
      </c>
      <c r="D79" s="686" t="s">
        <v>972</v>
      </c>
      <c r="E79" s="686" t="s">
        <v>1611</v>
      </c>
      <c r="F79" s="707">
        <v>3063366</v>
      </c>
      <c r="G79" s="707">
        <v>2893992</v>
      </c>
      <c r="H79" s="644">
        <f>(G79-F79)*100/F79</f>
        <v>-5.529016121482056</v>
      </c>
      <c r="I79" s="56"/>
      <c r="J79" s="417"/>
      <c r="K79" s="417"/>
      <c r="L79" s="417"/>
      <c r="M79" s="417"/>
    </row>
    <row r="80" spans="1:13" ht="19.5" customHeight="1">
      <c r="A80" s="1357"/>
      <c r="B80" s="642" t="s">
        <v>1578</v>
      </c>
      <c r="C80" s="641" t="s">
        <v>907</v>
      </c>
      <c r="D80" s="642" t="s">
        <v>973</v>
      </c>
      <c r="E80" s="642" t="s">
        <v>1611</v>
      </c>
      <c r="F80" s="643">
        <v>4801482</v>
      </c>
      <c r="G80" s="643">
        <v>4572396</v>
      </c>
      <c r="H80" s="644">
        <f>(G80-F80)*100/F80</f>
        <v>-4.77115190684876</v>
      </c>
      <c r="I80" s="56"/>
      <c r="J80" s="479"/>
      <c r="K80" s="417"/>
      <c r="L80" s="414"/>
      <c r="M80" s="417"/>
    </row>
    <row r="81" spans="1:13" ht="18.75" customHeight="1">
      <c r="A81" s="1358"/>
      <c r="B81" s="642" t="s">
        <v>352</v>
      </c>
      <c r="C81" s="641" t="s">
        <v>908</v>
      </c>
      <c r="D81" s="642" t="s">
        <v>974</v>
      </c>
      <c r="E81" s="642" t="s">
        <v>1611</v>
      </c>
      <c r="F81" s="643">
        <v>5793420</v>
      </c>
      <c r="G81" s="643">
        <v>5527838</v>
      </c>
      <c r="H81" s="644">
        <f>(G81-F81)*100/F81</f>
        <v>-4.584200696652409</v>
      </c>
      <c r="I81" s="56"/>
      <c r="J81" s="479"/>
      <c r="K81" s="417"/>
      <c r="L81" s="414"/>
      <c r="M81" s="417"/>
    </row>
    <row r="82" spans="1:13" ht="9.75" customHeight="1">
      <c r="A82" s="700"/>
      <c r="B82" s="708"/>
      <c r="C82" s="709"/>
      <c r="D82" s="710"/>
      <c r="E82" s="709"/>
      <c r="F82" s="711"/>
      <c r="G82" s="711"/>
      <c r="H82" s="644"/>
      <c r="I82" s="418"/>
      <c r="J82" s="418"/>
      <c r="K82" s="418"/>
      <c r="L82" s="418"/>
      <c r="M82" s="418"/>
    </row>
    <row r="83" spans="1:13" ht="36">
      <c r="A83" s="712" t="s">
        <v>1852</v>
      </c>
      <c r="B83" s="673"/>
      <c r="C83" s="673" t="s">
        <v>1379</v>
      </c>
      <c r="D83" s="674" t="s">
        <v>1380</v>
      </c>
      <c r="E83" s="674" t="s">
        <v>1611</v>
      </c>
      <c r="F83" s="675">
        <v>515090</v>
      </c>
      <c r="G83" s="675">
        <v>483256</v>
      </c>
      <c r="H83" s="644">
        <f>(G83-F83)*100/F83</f>
        <v>-6.180279174513192</v>
      </c>
      <c r="I83" s="56"/>
      <c r="J83" s="56"/>
      <c r="K83" s="56"/>
      <c r="L83" s="56"/>
      <c r="M83" s="56"/>
    </row>
    <row r="84" spans="1:13" ht="9.75" customHeight="1">
      <c r="A84" s="642"/>
      <c r="B84" s="652"/>
      <c r="C84" s="665"/>
      <c r="D84" s="692"/>
      <c r="E84" s="665"/>
      <c r="F84" s="653"/>
      <c r="G84" s="653"/>
      <c r="H84" s="644"/>
      <c r="I84" s="56"/>
      <c r="J84" s="56"/>
      <c r="K84" s="56"/>
      <c r="L84" s="56"/>
      <c r="M84" s="56"/>
    </row>
    <row r="85" spans="1:13" ht="36">
      <c r="A85" s="712" t="s">
        <v>584</v>
      </c>
      <c r="B85" s="713"/>
      <c r="C85" s="713" t="s">
        <v>1381</v>
      </c>
      <c r="D85" s="714" t="s">
        <v>1382</v>
      </c>
      <c r="E85" s="714" t="s">
        <v>1611</v>
      </c>
      <c r="F85" s="715">
        <v>233004</v>
      </c>
      <c r="G85" s="715">
        <v>212243</v>
      </c>
      <c r="H85" s="644">
        <f>(G85-F85)*100/F85</f>
        <v>-8.910147465279566</v>
      </c>
      <c r="I85" s="56"/>
      <c r="J85" s="56"/>
      <c r="K85" s="56"/>
      <c r="L85" s="56"/>
      <c r="M85" s="56"/>
    </row>
    <row r="86" spans="1:13" ht="9.75" customHeight="1">
      <c r="A86" s="716"/>
      <c r="B86" s="652"/>
      <c r="C86" s="665"/>
      <c r="D86" s="692"/>
      <c r="E86" s="665"/>
      <c r="F86" s="653"/>
      <c r="G86" s="653"/>
      <c r="H86" s="644"/>
      <c r="I86" s="56"/>
      <c r="J86" s="56"/>
      <c r="K86" s="56"/>
      <c r="L86" s="56"/>
      <c r="M86" s="56"/>
    </row>
    <row r="87" spans="1:13" ht="18">
      <c r="A87" s="712" t="s">
        <v>735</v>
      </c>
      <c r="B87" s="713"/>
      <c r="C87" s="713" t="s">
        <v>1218</v>
      </c>
      <c r="D87" s="714" t="s">
        <v>1219</v>
      </c>
      <c r="E87" s="714" t="s">
        <v>1611</v>
      </c>
      <c r="F87" s="715">
        <v>420114</v>
      </c>
      <c r="G87" s="715">
        <v>417910</v>
      </c>
      <c r="H87" s="644">
        <f>(G87-F87)*100/F87</f>
        <v>-0.5246195080382944</v>
      </c>
      <c r="I87" s="56"/>
      <c r="J87" s="56"/>
      <c r="K87" s="56"/>
      <c r="L87" s="56"/>
      <c r="M87" s="56"/>
    </row>
    <row r="88" spans="1:13" ht="10.5" customHeight="1">
      <c r="A88" s="716"/>
      <c r="B88" s="652"/>
      <c r="C88" s="665"/>
      <c r="D88" s="692"/>
      <c r="E88" s="665"/>
      <c r="F88" s="653"/>
      <c r="G88" s="653"/>
      <c r="H88" s="644"/>
      <c r="I88" s="56"/>
      <c r="J88" s="56"/>
      <c r="K88" s="56"/>
      <c r="L88" s="56"/>
      <c r="M88" s="56"/>
    </row>
    <row r="89" spans="1:13" ht="42" customHeight="1">
      <c r="A89" s="712" t="s">
        <v>738</v>
      </c>
      <c r="B89" s="713"/>
      <c r="C89" s="713" t="s">
        <v>1220</v>
      </c>
      <c r="D89" s="714" t="s">
        <v>1221</v>
      </c>
      <c r="E89" s="714" t="s">
        <v>1611</v>
      </c>
      <c r="F89" s="715">
        <v>23913</v>
      </c>
      <c r="G89" s="717" t="s">
        <v>540</v>
      </c>
      <c r="H89" s="644"/>
      <c r="I89" s="56"/>
      <c r="J89" s="56"/>
      <c r="K89" s="56"/>
      <c r="L89" s="94"/>
      <c r="M89" s="56"/>
    </row>
    <row r="90" spans="1:13" ht="9.75" customHeight="1">
      <c r="A90" s="716"/>
      <c r="B90" s="652"/>
      <c r="C90" s="665"/>
      <c r="D90" s="692"/>
      <c r="E90" s="665"/>
      <c r="F90" s="653"/>
      <c r="G90" s="653"/>
      <c r="H90" s="644"/>
      <c r="I90" s="56"/>
      <c r="J90" s="56"/>
      <c r="K90" s="56"/>
      <c r="L90" s="56"/>
      <c r="M90" s="56"/>
    </row>
    <row r="91" spans="1:13" ht="18">
      <c r="A91" s="1356" t="s">
        <v>463</v>
      </c>
      <c r="B91" s="641"/>
      <c r="C91" s="641" t="s">
        <v>1222</v>
      </c>
      <c r="D91" s="664"/>
      <c r="E91" s="665"/>
      <c r="F91" s="653"/>
      <c r="G91" s="653"/>
      <c r="H91" s="644"/>
      <c r="I91" s="56"/>
      <c r="J91" s="56"/>
      <c r="K91" s="56"/>
      <c r="L91" s="56"/>
      <c r="M91" s="56"/>
    </row>
    <row r="92" spans="1:13" ht="18">
      <c r="A92" s="1357"/>
      <c r="B92" s="642" t="s">
        <v>71</v>
      </c>
      <c r="C92" s="641" t="s">
        <v>1267</v>
      </c>
      <c r="D92" s="642" t="s">
        <v>1223</v>
      </c>
      <c r="E92" s="642" t="s">
        <v>1611</v>
      </c>
      <c r="F92" s="643">
        <v>2891595</v>
      </c>
      <c r="G92" s="643">
        <v>2660176</v>
      </c>
      <c r="H92" s="644">
        <f>(G92-F92)*100/F92</f>
        <v>-8.003160885255369</v>
      </c>
      <c r="I92" s="56"/>
      <c r="J92" s="56"/>
      <c r="K92" s="56"/>
      <c r="L92" s="414"/>
      <c r="M92" s="56"/>
    </row>
    <row r="93" spans="1:13" ht="18">
      <c r="A93" s="1357"/>
      <c r="B93" s="686" t="s">
        <v>1578</v>
      </c>
      <c r="C93" s="706" t="s">
        <v>1268</v>
      </c>
      <c r="D93" s="686" t="s">
        <v>1224</v>
      </c>
      <c r="E93" s="686" t="s">
        <v>1611</v>
      </c>
      <c r="F93" s="707">
        <v>3481958</v>
      </c>
      <c r="G93" s="707">
        <v>3251545</v>
      </c>
      <c r="H93" s="644">
        <f>(G93-F93)*100/F93</f>
        <v>-6.617340013865761</v>
      </c>
      <c r="I93" s="56"/>
      <c r="J93" s="56"/>
      <c r="K93" s="56"/>
      <c r="L93" s="414"/>
      <c r="M93" s="56"/>
    </row>
    <row r="94" spans="1:13" ht="18">
      <c r="A94" s="1358"/>
      <c r="B94" s="642" t="s">
        <v>352</v>
      </c>
      <c r="C94" s="641" t="s">
        <v>701</v>
      </c>
      <c r="D94" s="642" t="s">
        <v>1225</v>
      </c>
      <c r="E94" s="642" t="s">
        <v>1611</v>
      </c>
      <c r="F94" s="643">
        <v>3937967</v>
      </c>
      <c r="G94" s="643">
        <v>3642023</v>
      </c>
      <c r="H94" s="644">
        <f>(G94-F94)*100/F94</f>
        <v>-7.515146774972974</v>
      </c>
      <c r="I94" s="56"/>
      <c r="J94" s="56"/>
      <c r="K94" s="56"/>
      <c r="L94" s="414"/>
      <c r="M94" s="56"/>
    </row>
    <row r="95" spans="1:13" ht="9.75" customHeight="1">
      <c r="A95" s="700"/>
      <c r="B95" s="708"/>
      <c r="C95" s="709"/>
      <c r="D95" s="710"/>
      <c r="E95" s="709"/>
      <c r="F95" s="711"/>
      <c r="G95" s="711"/>
      <c r="H95" s="644"/>
      <c r="I95" s="418"/>
      <c r="J95" s="418"/>
      <c r="K95" s="418"/>
      <c r="L95" s="418"/>
      <c r="M95" s="418"/>
    </row>
    <row r="96" spans="1:13" ht="36">
      <c r="A96" s="625" t="s">
        <v>465</v>
      </c>
      <c r="B96" s="673"/>
      <c r="C96" s="673" t="s">
        <v>1226</v>
      </c>
      <c r="D96" s="674" t="s">
        <v>1227</v>
      </c>
      <c r="E96" s="674" t="s">
        <v>1611</v>
      </c>
      <c r="F96" s="675">
        <v>1325735</v>
      </c>
      <c r="G96" s="675">
        <v>1265650</v>
      </c>
      <c r="H96" s="644">
        <f>(G96-F96)*100/F96</f>
        <v>-4.532202891226376</v>
      </c>
      <c r="I96" s="56"/>
      <c r="J96" s="56"/>
      <c r="K96" s="56"/>
      <c r="L96" s="56"/>
      <c r="M96" s="56"/>
    </row>
    <row r="97" spans="1:13" ht="9.75" customHeight="1">
      <c r="A97" s="642"/>
      <c r="B97" s="652"/>
      <c r="C97" s="665"/>
      <c r="D97" s="692"/>
      <c r="E97" s="665"/>
      <c r="F97" s="653"/>
      <c r="G97" s="653"/>
      <c r="H97" s="644"/>
      <c r="I97" s="56"/>
      <c r="J97" s="56"/>
      <c r="K97" s="56"/>
      <c r="L97" s="56"/>
      <c r="M97" s="56"/>
    </row>
    <row r="98" spans="1:13" ht="18">
      <c r="A98" s="1354" t="s">
        <v>1228</v>
      </c>
      <c r="B98" s="1355"/>
      <c r="C98" s="1355"/>
      <c r="D98" s="638"/>
      <c r="E98" s="695"/>
      <c r="F98" s="691"/>
      <c r="G98" s="691"/>
      <c r="H98" s="644"/>
      <c r="I98" s="56"/>
      <c r="J98" s="56"/>
      <c r="K98" s="56"/>
      <c r="L98" s="56"/>
      <c r="M98" s="56"/>
    </row>
    <row r="99" spans="1:13" ht="9.75" customHeight="1">
      <c r="A99" s="642"/>
      <c r="B99" s="652"/>
      <c r="C99" s="665"/>
      <c r="D99" s="692"/>
      <c r="E99" s="665"/>
      <c r="F99" s="653"/>
      <c r="G99" s="653"/>
      <c r="H99" s="644"/>
      <c r="I99" s="56"/>
      <c r="J99" s="56"/>
      <c r="K99" s="56"/>
      <c r="L99" s="56"/>
      <c r="M99" s="56"/>
    </row>
    <row r="100" spans="1:13" ht="36">
      <c r="A100" s="1349" t="s">
        <v>731</v>
      </c>
      <c r="B100" s="646"/>
      <c r="C100" s="706" t="s">
        <v>1229</v>
      </c>
      <c r="D100" s="648"/>
      <c r="E100" s="647"/>
      <c r="F100" s="649"/>
      <c r="G100" s="649"/>
      <c r="H100" s="644"/>
      <c r="I100" s="56"/>
      <c r="J100" s="56"/>
      <c r="K100" s="56"/>
      <c r="L100" s="56"/>
      <c r="M100" s="56"/>
    </row>
    <row r="101" spans="1:13" ht="18">
      <c r="A101" s="1350"/>
      <c r="B101" s="686" t="s">
        <v>71</v>
      </c>
      <c r="C101" s="706" t="s">
        <v>1230</v>
      </c>
      <c r="D101" s="686" t="s">
        <v>1231</v>
      </c>
      <c r="E101" s="686" t="s">
        <v>1837</v>
      </c>
      <c r="F101" s="707">
        <v>244025</v>
      </c>
      <c r="G101" s="707">
        <v>225086</v>
      </c>
      <c r="H101" s="644">
        <f>(G101-F101)*100/F101</f>
        <v>-7.761090052248745</v>
      </c>
      <c r="I101" s="56"/>
      <c r="J101" s="56"/>
      <c r="K101" s="56"/>
      <c r="L101" s="56"/>
      <c r="M101" s="56"/>
    </row>
    <row r="102" spans="1:13" ht="18">
      <c r="A102" s="1353"/>
      <c r="B102" s="674" t="s">
        <v>1578</v>
      </c>
      <c r="C102" s="673" t="s">
        <v>1232</v>
      </c>
      <c r="D102" s="674" t="s">
        <v>1233</v>
      </c>
      <c r="E102" s="674" t="s">
        <v>1837</v>
      </c>
      <c r="F102" s="675">
        <v>196206</v>
      </c>
      <c r="G102" s="675">
        <v>182425</v>
      </c>
      <c r="H102" s="644">
        <f>(G102-F102)*100/F102</f>
        <v>-7.023740354525346</v>
      </c>
      <c r="I102" s="56"/>
      <c r="J102" s="56"/>
      <c r="K102" s="56"/>
      <c r="L102" s="56"/>
      <c r="M102" s="56"/>
    </row>
    <row r="103" spans="1:13" ht="9.75" customHeight="1">
      <c r="A103" s="642"/>
      <c r="B103" s="652"/>
      <c r="C103" s="665"/>
      <c r="D103" s="692"/>
      <c r="E103" s="665"/>
      <c r="F103" s="653"/>
      <c r="G103" s="653"/>
      <c r="H103" s="644"/>
      <c r="I103" s="56"/>
      <c r="J103" s="56"/>
      <c r="K103" s="56"/>
      <c r="L103" s="56"/>
      <c r="M103" s="56"/>
    </row>
    <row r="104" spans="1:13" ht="36">
      <c r="A104" s="625" t="s">
        <v>1841</v>
      </c>
      <c r="B104" s="713"/>
      <c r="C104" s="713" t="s">
        <v>1234</v>
      </c>
      <c r="D104" s="714" t="s">
        <v>1235</v>
      </c>
      <c r="E104" s="714" t="s">
        <v>1611</v>
      </c>
      <c r="F104" s="715">
        <v>37102</v>
      </c>
      <c r="G104" s="715">
        <v>35616</v>
      </c>
      <c r="H104" s="644">
        <f>(G104-F104)*100/F104</f>
        <v>-4.005174923184734</v>
      </c>
      <c r="I104" s="56"/>
      <c r="J104" s="56"/>
      <c r="K104" s="56"/>
      <c r="L104" s="56"/>
      <c r="M104" s="56"/>
    </row>
    <row r="105" spans="1:13" ht="9.75" customHeight="1">
      <c r="A105" s="705"/>
      <c r="B105" s="718"/>
      <c r="C105" s="719"/>
      <c r="D105" s="720"/>
      <c r="E105" s="719"/>
      <c r="F105" s="721"/>
      <c r="G105" s="721"/>
      <c r="H105" s="644"/>
      <c r="I105" s="418"/>
      <c r="J105" s="418"/>
      <c r="K105" s="418"/>
      <c r="L105" s="418"/>
      <c r="M105" s="418"/>
    </row>
    <row r="106" spans="1:13" ht="18">
      <c r="A106" s="1354" t="s">
        <v>1236</v>
      </c>
      <c r="B106" s="1355"/>
      <c r="C106" s="1355"/>
      <c r="D106" s="638"/>
      <c r="E106" s="695"/>
      <c r="F106" s="691"/>
      <c r="G106" s="691"/>
      <c r="H106" s="644"/>
      <c r="I106" s="56"/>
      <c r="J106" s="56"/>
      <c r="K106" s="56"/>
      <c r="L106" s="56"/>
      <c r="M106" s="56"/>
    </row>
    <row r="107" spans="1:13" ht="9.75" customHeight="1">
      <c r="A107" s="722"/>
      <c r="B107" s="723"/>
      <c r="C107" s="695"/>
      <c r="D107" s="638"/>
      <c r="E107" s="695"/>
      <c r="F107" s="691"/>
      <c r="G107" s="691"/>
      <c r="H107" s="644"/>
      <c r="I107" s="56"/>
      <c r="J107" s="56"/>
      <c r="K107" s="56"/>
      <c r="L107" s="56"/>
      <c r="M107" s="56"/>
    </row>
    <row r="108" spans="1:13" ht="36">
      <c r="A108" s="1349" t="s">
        <v>731</v>
      </c>
      <c r="B108" s="724"/>
      <c r="C108" s="706" t="s">
        <v>1492</v>
      </c>
      <c r="D108" s="725"/>
      <c r="E108" s="726"/>
      <c r="F108" s="727"/>
      <c r="G108" s="727"/>
      <c r="H108" s="644"/>
      <c r="I108" s="56"/>
      <c r="J108" s="56"/>
      <c r="K108" s="56"/>
      <c r="L108" s="56"/>
      <c r="M108" s="56"/>
    </row>
    <row r="109" spans="1:13" ht="18">
      <c r="A109" s="1350"/>
      <c r="B109" s="686" t="s">
        <v>71</v>
      </c>
      <c r="C109" s="706" t="s">
        <v>1387</v>
      </c>
      <c r="D109" s="686" t="s">
        <v>1493</v>
      </c>
      <c r="E109" s="686" t="s">
        <v>1837</v>
      </c>
      <c r="F109" s="707">
        <v>484324</v>
      </c>
      <c r="G109" s="707">
        <v>400368</v>
      </c>
      <c r="H109" s="644">
        <f>(G109-F109)*100/F109</f>
        <v>-17.33467678661392</v>
      </c>
      <c r="I109" s="56"/>
      <c r="J109" s="56"/>
      <c r="K109" s="56"/>
      <c r="L109" s="56"/>
      <c r="M109" s="56"/>
    </row>
    <row r="110" spans="1:13" ht="18">
      <c r="A110" s="1353"/>
      <c r="B110" s="642" t="s">
        <v>1578</v>
      </c>
      <c r="C110" s="641" t="s">
        <v>1746</v>
      </c>
      <c r="D110" s="674" t="s">
        <v>1494</v>
      </c>
      <c r="E110" s="674" t="s">
        <v>1837</v>
      </c>
      <c r="F110" s="675">
        <v>309203</v>
      </c>
      <c r="G110" s="675">
        <v>284712</v>
      </c>
      <c r="H110" s="644">
        <f>(G110-F110)*100/F110</f>
        <v>-7.920686409898998</v>
      </c>
      <c r="I110" s="56"/>
      <c r="J110" s="56"/>
      <c r="K110" s="56"/>
      <c r="L110" s="375"/>
      <c r="M110" s="56"/>
    </row>
    <row r="111" spans="1:13" ht="9.75" customHeight="1">
      <c r="A111" s="650"/>
      <c r="B111" s="642"/>
      <c r="C111" s="673"/>
      <c r="D111" s="674"/>
      <c r="E111" s="674"/>
      <c r="F111" s="675"/>
      <c r="G111" s="675"/>
      <c r="H111" s="644"/>
      <c r="I111" s="56"/>
      <c r="J111" s="56"/>
      <c r="K111" s="56"/>
      <c r="L111" s="56"/>
      <c r="M111" s="56"/>
    </row>
    <row r="112" spans="1:13" ht="36">
      <c r="A112" s="625" t="s">
        <v>1841</v>
      </c>
      <c r="B112" s="642" t="s">
        <v>1578</v>
      </c>
      <c r="C112" s="641" t="s">
        <v>1388</v>
      </c>
      <c r="D112" s="642" t="s">
        <v>1389</v>
      </c>
      <c r="E112" s="642" t="s">
        <v>737</v>
      </c>
      <c r="F112" s="643">
        <v>27672</v>
      </c>
      <c r="G112" s="643">
        <v>22159</v>
      </c>
      <c r="H112" s="644">
        <f>(G112-F112)*100/F112</f>
        <v>-19.92266551026308</v>
      </c>
      <c r="I112" s="56"/>
      <c r="J112" s="56"/>
      <c r="K112" s="56"/>
      <c r="L112" s="56"/>
      <c r="M112" s="56"/>
    </row>
    <row r="113" spans="1:13" ht="17.25" customHeight="1">
      <c r="A113" s="1349" t="s">
        <v>1846</v>
      </c>
      <c r="B113" s="642" t="s">
        <v>352</v>
      </c>
      <c r="C113" s="641" t="s">
        <v>1751</v>
      </c>
      <c r="D113" s="642" t="s">
        <v>1390</v>
      </c>
      <c r="E113" s="674"/>
      <c r="F113" s="643"/>
      <c r="G113" s="643"/>
      <c r="H113" s="644"/>
      <c r="I113" s="56"/>
      <c r="J113" s="56"/>
      <c r="K113" s="56"/>
      <c r="L113" s="56"/>
      <c r="M113" s="56"/>
    </row>
    <row r="114" spans="1:13" ht="36">
      <c r="A114" s="1350"/>
      <c r="B114" s="642" t="s">
        <v>1788</v>
      </c>
      <c r="C114" s="641" t="s">
        <v>1752</v>
      </c>
      <c r="D114" s="642"/>
      <c r="E114" s="674"/>
      <c r="F114" s="643"/>
      <c r="G114" s="643"/>
      <c r="H114" s="644"/>
      <c r="I114" s="56"/>
      <c r="J114" s="56"/>
      <c r="K114" s="56"/>
      <c r="L114" s="56"/>
      <c r="M114" s="56"/>
    </row>
    <row r="115" spans="1:13" ht="36">
      <c r="A115" s="1350"/>
      <c r="B115" s="686" t="s">
        <v>71</v>
      </c>
      <c r="C115" s="641" t="s">
        <v>1753</v>
      </c>
      <c r="D115" s="642" t="s">
        <v>196</v>
      </c>
      <c r="E115" s="674" t="s">
        <v>1837</v>
      </c>
      <c r="F115" s="643">
        <v>1344420</v>
      </c>
      <c r="G115" s="643">
        <v>1200223</v>
      </c>
      <c r="H115" s="644">
        <f>(G115-F115)*100/F115</f>
        <v>-10.725591704973148</v>
      </c>
      <c r="I115" s="56"/>
      <c r="J115" s="56"/>
      <c r="K115" s="56"/>
      <c r="L115" s="56"/>
      <c r="M115" s="56"/>
    </row>
    <row r="116" spans="1:13" ht="36">
      <c r="A116" s="1350"/>
      <c r="B116" s="642" t="s">
        <v>1578</v>
      </c>
      <c r="C116" s="641" t="s">
        <v>195</v>
      </c>
      <c r="D116" s="642" t="s">
        <v>197</v>
      </c>
      <c r="E116" s="674" t="s">
        <v>1837</v>
      </c>
      <c r="F116" s="643">
        <v>1481953</v>
      </c>
      <c r="G116" s="643">
        <v>1335256</v>
      </c>
      <c r="H116" s="644">
        <f>(G116-F116)*100/F116</f>
        <v>-9.898896928580056</v>
      </c>
      <c r="I116" s="56"/>
      <c r="J116" s="56"/>
      <c r="K116" s="56"/>
      <c r="L116" s="56"/>
      <c r="M116" s="56"/>
    </row>
    <row r="117" spans="1:13" ht="18">
      <c r="A117" s="1350"/>
      <c r="B117" s="642" t="s">
        <v>1790</v>
      </c>
      <c r="C117" s="641" t="s">
        <v>198</v>
      </c>
      <c r="D117" s="642"/>
      <c r="E117" s="674"/>
      <c r="F117" s="643"/>
      <c r="G117" s="643"/>
      <c r="H117" s="644"/>
      <c r="I117" s="56"/>
      <c r="J117" s="56"/>
      <c r="K117" s="56"/>
      <c r="L117" s="56"/>
      <c r="M117" s="56"/>
    </row>
    <row r="118" spans="1:13" ht="36">
      <c r="A118" s="1350"/>
      <c r="B118" s="686" t="s">
        <v>71</v>
      </c>
      <c r="C118" s="641" t="s">
        <v>1753</v>
      </c>
      <c r="D118" s="642" t="s">
        <v>199</v>
      </c>
      <c r="E118" s="674" t="s">
        <v>1837</v>
      </c>
      <c r="F118" s="643">
        <v>737869</v>
      </c>
      <c r="G118" s="643">
        <v>748914</v>
      </c>
      <c r="H118" s="644">
        <f>(G118-F118)*100/F118</f>
        <v>1.4968781721416675</v>
      </c>
      <c r="I118" s="56"/>
      <c r="J118" s="56"/>
      <c r="K118" s="56"/>
      <c r="L118" s="56"/>
      <c r="M118" s="56"/>
    </row>
    <row r="119" spans="1:13" ht="36">
      <c r="A119" s="1353"/>
      <c r="B119" s="642" t="s">
        <v>1578</v>
      </c>
      <c r="C119" s="641" t="s">
        <v>195</v>
      </c>
      <c r="D119" s="642" t="s">
        <v>200</v>
      </c>
      <c r="E119" s="674" t="s">
        <v>1837</v>
      </c>
      <c r="F119" s="643">
        <v>875402</v>
      </c>
      <c r="G119" s="643">
        <v>883946</v>
      </c>
      <c r="H119" s="644">
        <f>(G119-F119)*100/F119</f>
        <v>0.9760087365576043</v>
      </c>
      <c r="I119" s="56"/>
      <c r="J119" s="56"/>
      <c r="K119" s="56"/>
      <c r="L119" s="56"/>
      <c r="M119" s="56"/>
    </row>
    <row r="120" spans="1:13" ht="36">
      <c r="A120" s="625" t="s">
        <v>1852</v>
      </c>
      <c r="B120" s="642" t="s">
        <v>354</v>
      </c>
      <c r="C120" s="641" t="s">
        <v>1391</v>
      </c>
      <c r="D120" s="642" t="s">
        <v>1392</v>
      </c>
      <c r="E120" s="674" t="s">
        <v>1837</v>
      </c>
      <c r="F120" s="643">
        <v>188319</v>
      </c>
      <c r="G120" s="643">
        <v>161933</v>
      </c>
      <c r="H120" s="644">
        <f>(G120-F120)*100/F120</f>
        <v>-14.011331835874234</v>
      </c>
      <c r="I120" s="56"/>
      <c r="J120" s="56"/>
      <c r="K120" s="56"/>
      <c r="L120" s="56"/>
      <c r="M120" s="56"/>
    </row>
    <row r="121" spans="1:13" ht="36">
      <c r="A121" s="625" t="s">
        <v>584</v>
      </c>
      <c r="B121" s="674" t="s">
        <v>356</v>
      </c>
      <c r="C121" s="673" t="s">
        <v>1393</v>
      </c>
      <c r="D121" s="674" t="s">
        <v>1394</v>
      </c>
      <c r="E121" s="674" t="s">
        <v>1837</v>
      </c>
      <c r="F121" s="675">
        <v>133008</v>
      </c>
      <c r="G121" s="675">
        <v>115754</v>
      </c>
      <c r="H121" s="644">
        <f>(G121-F121)*100/F121</f>
        <v>-12.972152051004452</v>
      </c>
      <c r="I121" s="56"/>
      <c r="J121" s="56"/>
      <c r="K121" s="56"/>
      <c r="L121" s="56"/>
      <c r="M121" s="56"/>
    </row>
    <row r="122" spans="1:13" ht="36">
      <c r="A122" s="625" t="s">
        <v>735</v>
      </c>
      <c r="B122" s="728" t="s">
        <v>358</v>
      </c>
      <c r="C122" s="641" t="s">
        <v>1395</v>
      </c>
      <c r="D122" s="642" t="s">
        <v>1396</v>
      </c>
      <c r="E122" s="674" t="s">
        <v>1837</v>
      </c>
      <c r="F122" s="643">
        <v>2557916</v>
      </c>
      <c r="G122" s="643">
        <v>2396943</v>
      </c>
      <c r="H122" s="644">
        <f>(G122-F122)*100/F122</f>
        <v>-6.293130814303519</v>
      </c>
      <c r="I122" s="56"/>
      <c r="J122" s="56"/>
      <c r="K122" s="56"/>
      <c r="L122" s="56"/>
      <c r="M122" s="56"/>
    </row>
    <row r="123" spans="1:13" ht="11.25" customHeight="1">
      <c r="A123" s="729"/>
      <c r="B123" s="664"/>
      <c r="C123" s="692"/>
      <c r="D123" s="692"/>
      <c r="E123" s="665"/>
      <c r="F123" s="653"/>
      <c r="G123" s="653"/>
      <c r="H123" s="644"/>
      <c r="I123" s="56"/>
      <c r="J123" s="56"/>
      <c r="K123" s="56"/>
      <c r="L123" s="56"/>
      <c r="M123" s="56"/>
    </row>
    <row r="124" spans="1:13" ht="18">
      <c r="A124" s="1349" t="s">
        <v>738</v>
      </c>
      <c r="B124" s="673"/>
      <c r="C124" s="706" t="s">
        <v>1397</v>
      </c>
      <c r="D124" s="648"/>
      <c r="E124" s="647"/>
      <c r="F124" s="649"/>
      <c r="G124" s="649"/>
      <c r="H124" s="644"/>
      <c r="I124" s="56"/>
      <c r="J124" s="56"/>
      <c r="K124" s="56"/>
      <c r="L124" s="56"/>
      <c r="M124" s="56"/>
    </row>
    <row r="125" spans="1:13" ht="18">
      <c r="A125" s="1350"/>
      <c r="B125" s="642" t="s">
        <v>71</v>
      </c>
      <c r="C125" s="706" t="s">
        <v>1398</v>
      </c>
      <c r="D125" s="686" t="s">
        <v>1495</v>
      </c>
      <c r="E125" s="686" t="s">
        <v>1611</v>
      </c>
      <c r="F125" s="707">
        <v>79655</v>
      </c>
      <c r="G125" s="707">
        <v>67035</v>
      </c>
      <c r="H125" s="644">
        <f>(G125-F125)*100/F125</f>
        <v>-15.843324336199862</v>
      </c>
      <c r="I125" s="56"/>
      <c r="J125" s="56"/>
      <c r="K125" s="56"/>
      <c r="L125" s="56"/>
      <c r="M125" s="56"/>
    </row>
    <row r="126" spans="1:13" ht="18">
      <c r="A126" s="1353"/>
      <c r="B126" s="642" t="s">
        <v>1578</v>
      </c>
      <c r="C126" s="641" t="s">
        <v>1746</v>
      </c>
      <c r="D126" s="686" t="s">
        <v>1496</v>
      </c>
      <c r="E126" s="686" t="s">
        <v>1611</v>
      </c>
      <c r="F126" s="643">
        <v>50262</v>
      </c>
      <c r="G126" s="643">
        <v>47583</v>
      </c>
      <c r="H126" s="644">
        <f>(G126-F126)*100/F126</f>
        <v>-5.3300704309418645</v>
      </c>
      <c r="I126" s="56"/>
      <c r="J126" s="56"/>
      <c r="K126" s="56"/>
      <c r="L126" s="375"/>
      <c r="M126" s="56"/>
    </row>
    <row r="127" spans="1:13" ht="9.75" customHeight="1">
      <c r="A127" s="730"/>
      <c r="B127" s="731"/>
      <c r="C127" s="489"/>
      <c r="D127" s="682"/>
      <c r="E127" s="682"/>
      <c r="F127" s="683"/>
      <c r="G127" s="683"/>
      <c r="H127" s="732"/>
      <c r="I127" s="56"/>
      <c r="J127" s="56"/>
      <c r="K127" s="56"/>
      <c r="L127" s="56"/>
      <c r="M127" s="56"/>
    </row>
    <row r="128" spans="1:13" ht="36">
      <c r="A128" s="1352" t="s">
        <v>463</v>
      </c>
      <c r="B128" s="641"/>
      <c r="C128" s="641" t="s">
        <v>1399</v>
      </c>
      <c r="D128" s="733"/>
      <c r="E128" s="641"/>
      <c r="F128" s="734"/>
      <c r="G128" s="734"/>
      <c r="H128" s="644"/>
      <c r="I128" s="56"/>
      <c r="J128" s="56"/>
      <c r="K128" s="56"/>
      <c r="L128" s="56"/>
      <c r="M128" s="56"/>
    </row>
    <row r="129" spans="1:13" ht="18">
      <c r="A129" s="1352"/>
      <c r="B129" s="642" t="s">
        <v>71</v>
      </c>
      <c r="C129" s="641" t="s">
        <v>1230</v>
      </c>
      <c r="D129" s="642" t="s">
        <v>1400</v>
      </c>
      <c r="E129" s="642" t="s">
        <v>1837</v>
      </c>
      <c r="F129" s="643">
        <v>353296</v>
      </c>
      <c r="G129" s="643">
        <v>300939</v>
      </c>
      <c r="H129" s="644">
        <f>(G129-F129)*100/F129</f>
        <v>-14.819584710837372</v>
      </c>
      <c r="I129" s="56"/>
      <c r="J129" s="56"/>
      <c r="K129" s="56"/>
      <c r="L129" s="56"/>
      <c r="M129" s="56"/>
    </row>
    <row r="130" spans="1:13" ht="18">
      <c r="A130" s="1352"/>
      <c r="B130" s="642" t="s">
        <v>1578</v>
      </c>
      <c r="C130" s="641" t="s">
        <v>1401</v>
      </c>
      <c r="D130" s="642" t="s">
        <v>1402</v>
      </c>
      <c r="E130" s="642" t="s">
        <v>1837</v>
      </c>
      <c r="F130" s="643">
        <v>307878</v>
      </c>
      <c r="G130" s="643">
        <v>260829</v>
      </c>
      <c r="H130" s="644">
        <f>(G130-F130)*100/F130</f>
        <v>-15.28170249254575</v>
      </c>
      <c r="I130" s="56"/>
      <c r="J130" s="56"/>
      <c r="K130" s="56"/>
      <c r="L130" s="56"/>
      <c r="M130" s="56"/>
    </row>
    <row r="131" spans="1:13" ht="9.75" customHeight="1">
      <c r="A131" s="642"/>
      <c r="B131" s="640"/>
      <c r="C131" s="489"/>
      <c r="D131" s="254"/>
      <c r="E131" s="489"/>
      <c r="F131" s="662"/>
      <c r="G131" s="662"/>
      <c r="H131" s="644"/>
      <c r="I131" s="56"/>
      <c r="J131" s="56"/>
      <c r="K131" s="56"/>
      <c r="L131" s="56"/>
      <c r="M131" s="56"/>
    </row>
    <row r="132" spans="1:13" ht="36">
      <c r="A132" s="625" t="s">
        <v>465</v>
      </c>
      <c r="B132" s="641"/>
      <c r="C132" s="641" t="s">
        <v>1238</v>
      </c>
      <c r="D132" s="642" t="s">
        <v>1403</v>
      </c>
      <c r="E132" s="642" t="s">
        <v>1611</v>
      </c>
      <c r="F132" s="643">
        <v>57914</v>
      </c>
      <c r="G132" s="643">
        <v>50509</v>
      </c>
      <c r="H132" s="644">
        <f>(G132-F132)*100/F132</f>
        <v>-12.786200227924164</v>
      </c>
      <c r="I132" s="56"/>
      <c r="J132" s="56"/>
      <c r="K132" s="374"/>
      <c r="L132" s="56"/>
      <c r="M132" s="56"/>
    </row>
    <row r="133" spans="1:13" ht="9.75" customHeight="1">
      <c r="A133" s="625"/>
      <c r="B133" s="641"/>
      <c r="C133" s="641"/>
      <c r="D133" s="642"/>
      <c r="E133" s="642"/>
      <c r="F133" s="643"/>
      <c r="G133" s="643"/>
      <c r="H133" s="644"/>
      <c r="I133" s="56"/>
      <c r="J133" s="56"/>
      <c r="K133" s="374"/>
      <c r="L133" s="56"/>
      <c r="M133" s="56"/>
    </row>
    <row r="134" spans="1:13" ht="18">
      <c r="A134" s="1349" t="s">
        <v>2092</v>
      </c>
      <c r="B134" s="641"/>
      <c r="C134" s="641" t="s">
        <v>1497</v>
      </c>
      <c r="D134" s="642"/>
      <c r="E134" s="642"/>
      <c r="F134" s="643"/>
      <c r="G134" s="643"/>
      <c r="H134" s="644"/>
      <c r="I134" s="56"/>
      <c r="J134" s="56"/>
      <c r="K134" s="489"/>
      <c r="L134" s="56"/>
      <c r="M134" s="56"/>
    </row>
    <row r="135" spans="1:13" ht="18">
      <c r="A135" s="1350"/>
      <c r="B135" s="642" t="s">
        <v>1788</v>
      </c>
      <c r="C135" s="641" t="s">
        <v>1746</v>
      </c>
      <c r="D135" s="642"/>
      <c r="E135" s="642"/>
      <c r="F135" s="643"/>
      <c r="G135" s="643"/>
      <c r="H135" s="644"/>
      <c r="I135" s="56"/>
      <c r="J135" s="56"/>
      <c r="K135" s="56"/>
      <c r="L135" s="56"/>
      <c r="M135" s="56"/>
    </row>
    <row r="136" spans="1:13" ht="18">
      <c r="A136" s="1350"/>
      <c r="B136" s="642" t="s">
        <v>71</v>
      </c>
      <c r="C136" s="641" t="s">
        <v>294</v>
      </c>
      <c r="D136" s="642" t="s">
        <v>1404</v>
      </c>
      <c r="E136" s="642" t="s">
        <v>1837</v>
      </c>
      <c r="F136" s="643">
        <v>358947</v>
      </c>
      <c r="G136" s="643">
        <v>327385</v>
      </c>
      <c r="H136" s="644">
        <f>(G136-F136)*100/F136</f>
        <v>-8.792941576332996</v>
      </c>
      <c r="I136" s="56"/>
      <c r="J136" s="56"/>
      <c r="K136" s="56"/>
      <c r="L136" s="375"/>
      <c r="M136" s="56"/>
    </row>
    <row r="137" spans="1:13" ht="18">
      <c r="A137" s="1353"/>
      <c r="B137" s="642" t="s">
        <v>1578</v>
      </c>
      <c r="C137" s="641" t="s">
        <v>293</v>
      </c>
      <c r="D137" s="642" t="s">
        <v>1405</v>
      </c>
      <c r="E137" s="642" t="s">
        <v>1837</v>
      </c>
      <c r="F137" s="643">
        <v>410297</v>
      </c>
      <c r="G137" s="643">
        <v>371815</v>
      </c>
      <c r="H137" s="644">
        <f>(G137-F137)*100/F137</f>
        <v>-9.379059559294852</v>
      </c>
      <c r="I137" s="56"/>
      <c r="J137" s="56"/>
      <c r="K137" s="56"/>
      <c r="L137" s="375"/>
      <c r="M137" s="56"/>
    </row>
    <row r="138" spans="1:13" ht="9.75" customHeight="1">
      <c r="A138" s="650"/>
      <c r="B138" s="642"/>
      <c r="C138" s="641"/>
      <c r="D138" s="642"/>
      <c r="E138" s="642"/>
      <c r="F138" s="643"/>
      <c r="G138" s="643"/>
      <c r="H138" s="644"/>
      <c r="I138" s="56"/>
      <c r="J138" s="56"/>
      <c r="K138" s="56"/>
      <c r="L138" s="56"/>
      <c r="M138" s="56"/>
    </row>
    <row r="139" spans="1:13" ht="36">
      <c r="A139" s="1349" t="s">
        <v>1491</v>
      </c>
      <c r="B139" s="641"/>
      <c r="C139" s="641" t="s">
        <v>1406</v>
      </c>
      <c r="D139" s="642"/>
      <c r="E139" s="642"/>
      <c r="F139" s="643"/>
      <c r="G139" s="643"/>
      <c r="H139" s="644"/>
      <c r="I139" s="56"/>
      <c r="J139" s="56"/>
      <c r="K139" s="56"/>
      <c r="L139" s="56"/>
      <c r="M139" s="56"/>
    </row>
    <row r="140" spans="1:13" ht="18">
      <c r="A140" s="1350"/>
      <c r="B140" s="642" t="s">
        <v>71</v>
      </c>
      <c r="C140" s="641" t="s">
        <v>1407</v>
      </c>
      <c r="D140" s="642" t="s">
        <v>1408</v>
      </c>
      <c r="E140" s="642" t="s">
        <v>1837</v>
      </c>
      <c r="F140" s="643">
        <v>579209</v>
      </c>
      <c r="G140" s="643">
        <v>474359</v>
      </c>
      <c r="H140" s="644">
        <f>(G140-F140)*100/F140</f>
        <v>-18.10227396328441</v>
      </c>
      <c r="I140" s="56"/>
      <c r="J140" s="56"/>
      <c r="K140" s="56"/>
      <c r="L140" s="56"/>
      <c r="M140" s="56"/>
    </row>
    <row r="141" spans="1:13" ht="18">
      <c r="A141" s="1353"/>
      <c r="B141" s="642" t="s">
        <v>1578</v>
      </c>
      <c r="C141" s="641" t="s">
        <v>2174</v>
      </c>
      <c r="D141" s="642" t="s">
        <v>1409</v>
      </c>
      <c r="E141" s="642" t="s">
        <v>1837</v>
      </c>
      <c r="F141" s="643">
        <v>630559</v>
      </c>
      <c r="G141" s="643">
        <v>518789</v>
      </c>
      <c r="H141" s="644">
        <f>(G141-F141)*100/F141</f>
        <v>-17.725541939770903</v>
      </c>
      <c r="I141" s="56"/>
      <c r="J141" s="56"/>
      <c r="K141" s="56"/>
      <c r="L141" s="56"/>
      <c r="M141" s="56"/>
    </row>
    <row r="142" spans="1:13" ht="36">
      <c r="A142" s="625" t="s">
        <v>1521</v>
      </c>
      <c r="B142" s="641"/>
      <c r="C142" s="641" t="s">
        <v>1211</v>
      </c>
      <c r="D142" s="642" t="s">
        <v>1212</v>
      </c>
      <c r="E142" s="642" t="s">
        <v>737</v>
      </c>
      <c r="F142" s="643">
        <v>31311</v>
      </c>
      <c r="G142" s="643">
        <v>24793</v>
      </c>
      <c r="H142" s="644">
        <f>(G142-F142)*100/F142</f>
        <v>-20.816965283766088</v>
      </c>
      <c r="I142" s="56"/>
      <c r="J142" s="56"/>
      <c r="K142" s="56"/>
      <c r="L142" s="56"/>
      <c r="M142" s="56"/>
    </row>
    <row r="143" spans="1:13" ht="54">
      <c r="A143" s="1349" t="s">
        <v>1213</v>
      </c>
      <c r="B143" s="641"/>
      <c r="C143" s="641" t="s">
        <v>532</v>
      </c>
      <c r="D143" s="642" t="s">
        <v>1214</v>
      </c>
      <c r="E143" s="642"/>
      <c r="F143" s="643">
        <v>1862805</v>
      </c>
      <c r="G143" s="643">
        <v>1940475</v>
      </c>
      <c r="H143" s="644">
        <f>(G143-F143)*100/F143</f>
        <v>4.169518548640357</v>
      </c>
      <c r="I143" s="56"/>
      <c r="J143" s="188"/>
      <c r="L143" s="56"/>
      <c r="M143" s="56"/>
    </row>
    <row r="144" spans="1:13" ht="17.25" customHeight="1">
      <c r="A144" s="1350"/>
      <c r="B144" s="642" t="s">
        <v>71</v>
      </c>
      <c r="C144" s="641" t="s">
        <v>2270</v>
      </c>
      <c r="D144" s="642" t="s">
        <v>533</v>
      </c>
      <c r="E144" s="642" t="s">
        <v>467</v>
      </c>
      <c r="F144" s="643">
        <v>0</v>
      </c>
      <c r="G144" s="643">
        <v>781977</v>
      </c>
      <c r="H144" s="644"/>
      <c r="I144" s="741" t="s">
        <v>2191</v>
      </c>
      <c r="J144" s="188"/>
      <c r="K144" s="489"/>
      <c r="L144" s="56"/>
      <c r="M144" s="56"/>
    </row>
    <row r="145" spans="1:13" ht="18">
      <c r="A145" s="1353"/>
      <c r="B145" s="642" t="s">
        <v>1578</v>
      </c>
      <c r="C145" s="641" t="s">
        <v>372</v>
      </c>
      <c r="D145" s="642" t="s">
        <v>534</v>
      </c>
      <c r="E145" s="642" t="s">
        <v>467</v>
      </c>
      <c r="F145" s="643">
        <v>1862805</v>
      </c>
      <c r="G145" s="643">
        <v>2271892</v>
      </c>
      <c r="H145" s="644">
        <f>(G145-F145)*100/F145</f>
        <v>21.960806418277812</v>
      </c>
      <c r="I145" s="56"/>
      <c r="J145" s="188"/>
      <c r="K145" s="489"/>
      <c r="L145" s="56"/>
      <c r="M145" s="56"/>
    </row>
    <row r="146" spans="1:13" ht="41.25" customHeight="1">
      <c r="A146" s="625" t="s">
        <v>1215</v>
      </c>
      <c r="B146" s="641"/>
      <c r="C146" s="641" t="s">
        <v>1216</v>
      </c>
      <c r="D146" s="642" t="s">
        <v>1217</v>
      </c>
      <c r="E146" s="642" t="s">
        <v>1490</v>
      </c>
      <c r="F146" s="643">
        <v>333720</v>
      </c>
      <c r="G146" s="643">
        <v>333362</v>
      </c>
      <c r="H146" s="644">
        <f>(G146-F146)*100/F146</f>
        <v>-0.10727556034999401</v>
      </c>
      <c r="I146" s="56"/>
      <c r="J146" s="188"/>
      <c r="K146" s="56"/>
      <c r="L146" s="56"/>
      <c r="M146" s="56"/>
    </row>
    <row r="147" spans="1:13" ht="18">
      <c r="A147" s="1352" t="s">
        <v>1005</v>
      </c>
      <c r="B147" s="641"/>
      <c r="C147" s="641" t="s">
        <v>1006</v>
      </c>
      <c r="D147" s="642"/>
      <c r="E147" s="642"/>
      <c r="F147" s="643"/>
      <c r="G147" s="643"/>
      <c r="H147" s="644"/>
      <c r="I147" s="56"/>
      <c r="J147" s="56"/>
      <c r="K147" s="56"/>
      <c r="L147" s="56"/>
      <c r="M147" s="56"/>
    </row>
    <row r="148" spans="1:13" ht="18">
      <c r="A148" s="1352"/>
      <c r="B148" s="642" t="s">
        <v>71</v>
      </c>
      <c r="C148" s="641" t="s">
        <v>1007</v>
      </c>
      <c r="D148" s="642" t="s">
        <v>1008</v>
      </c>
      <c r="E148" s="642" t="s">
        <v>1837</v>
      </c>
      <c r="F148" s="643">
        <v>930785</v>
      </c>
      <c r="G148" s="643">
        <v>926447</v>
      </c>
      <c r="H148" s="644">
        <f>(G148-F148)*100/F148</f>
        <v>-0.4660582196747906</v>
      </c>
      <c r="I148" s="56"/>
      <c r="J148" s="56"/>
      <c r="K148" s="56"/>
      <c r="L148" s="56"/>
      <c r="M148" s="56"/>
    </row>
    <row r="149" spans="1:13" ht="18">
      <c r="A149" s="1352"/>
      <c r="B149" s="642" t="s">
        <v>1578</v>
      </c>
      <c r="C149" s="641" t="s">
        <v>1009</v>
      </c>
      <c r="D149" s="642" t="s">
        <v>1010</v>
      </c>
      <c r="E149" s="642" t="s">
        <v>1837</v>
      </c>
      <c r="F149" s="643">
        <v>1424669</v>
      </c>
      <c r="G149" s="643">
        <v>1407717</v>
      </c>
      <c r="H149" s="644">
        <f>(G149-F149)*100/F149</f>
        <v>-1.1898904236703403</v>
      </c>
      <c r="I149" s="56"/>
      <c r="J149" s="56"/>
      <c r="K149" s="56"/>
      <c r="L149" s="56"/>
      <c r="M149" s="56"/>
    </row>
    <row r="150" spans="1:13" ht="18">
      <c r="A150" s="1352"/>
      <c r="B150" s="642" t="s">
        <v>352</v>
      </c>
      <c r="C150" s="641" t="s">
        <v>1182</v>
      </c>
      <c r="D150" s="642" t="s">
        <v>1183</v>
      </c>
      <c r="E150" s="642" t="s">
        <v>1837</v>
      </c>
      <c r="F150" s="643">
        <v>2014725</v>
      </c>
      <c r="G150" s="643">
        <v>1982562</v>
      </c>
      <c r="H150" s="644">
        <f>(G150-F150)*100/F150</f>
        <v>-1.5963965305438708</v>
      </c>
      <c r="I150" s="56"/>
      <c r="J150" s="56"/>
      <c r="K150" s="56"/>
      <c r="L150" s="56"/>
      <c r="M150" s="56"/>
    </row>
    <row r="151" spans="1:13" ht="36">
      <c r="A151" s="1349" t="s">
        <v>1184</v>
      </c>
      <c r="B151" s="641"/>
      <c r="C151" s="641" t="s">
        <v>1185</v>
      </c>
      <c r="D151" s="642" t="s">
        <v>1186</v>
      </c>
      <c r="E151" s="640"/>
      <c r="F151" s="662"/>
      <c r="G151" s="662"/>
      <c r="H151" s="644"/>
      <c r="I151" s="56"/>
      <c r="J151" s="56"/>
      <c r="K151" s="56"/>
      <c r="L151" s="56"/>
      <c r="M151" s="56"/>
    </row>
    <row r="152" spans="1:13" ht="18">
      <c r="A152" s="1350"/>
      <c r="B152" s="642" t="s">
        <v>71</v>
      </c>
      <c r="C152" s="641" t="s">
        <v>862</v>
      </c>
      <c r="D152" s="642" t="s">
        <v>1187</v>
      </c>
      <c r="E152" s="642" t="s">
        <v>737</v>
      </c>
      <c r="F152" s="643">
        <v>1975</v>
      </c>
      <c r="G152" s="643">
        <v>1984</v>
      </c>
      <c r="H152" s="644">
        <f>(G152-F152)*100/F152</f>
        <v>0.45569620253164556</v>
      </c>
      <c r="I152" s="56"/>
      <c r="J152" s="56"/>
      <c r="K152" s="56"/>
      <c r="L152" s="56"/>
      <c r="M152" s="56"/>
    </row>
    <row r="153" spans="1:13" ht="18">
      <c r="A153" s="1350"/>
      <c r="B153" s="642" t="s">
        <v>1578</v>
      </c>
      <c r="C153" s="641" t="s">
        <v>863</v>
      </c>
      <c r="D153" s="642" t="s">
        <v>1188</v>
      </c>
      <c r="E153" s="642" t="s">
        <v>737</v>
      </c>
      <c r="F153" s="643">
        <v>3747</v>
      </c>
      <c r="G153" s="643">
        <v>3766</v>
      </c>
      <c r="H153" s="644">
        <f>(G153-F153)*100/F153</f>
        <v>0.5070723245262877</v>
      </c>
      <c r="I153" s="56"/>
      <c r="J153" s="56"/>
      <c r="K153" s="56"/>
      <c r="L153" s="56"/>
      <c r="M153" s="56"/>
    </row>
    <row r="154" spans="1:13" ht="18">
      <c r="A154" s="1350"/>
      <c r="B154" s="642" t="s">
        <v>352</v>
      </c>
      <c r="C154" s="641" t="s">
        <v>864</v>
      </c>
      <c r="D154" s="642" t="s">
        <v>1189</v>
      </c>
      <c r="E154" s="642" t="s">
        <v>737</v>
      </c>
      <c r="F154" s="643">
        <v>4462</v>
      </c>
      <c r="G154" s="643">
        <v>4486</v>
      </c>
      <c r="H154" s="644">
        <f>(G154-F154)*100/F154</f>
        <v>0.5378753922008068</v>
      </c>
      <c r="I154" s="56"/>
      <c r="J154" s="56"/>
      <c r="K154" s="56"/>
      <c r="L154" s="56"/>
      <c r="M154" s="56"/>
    </row>
    <row r="155" spans="1:13" ht="18">
      <c r="A155" s="1350"/>
      <c r="B155" s="642" t="s">
        <v>354</v>
      </c>
      <c r="C155" s="641" t="s">
        <v>865</v>
      </c>
      <c r="D155" s="642" t="s">
        <v>1190</v>
      </c>
      <c r="E155" s="642" t="s">
        <v>737</v>
      </c>
      <c r="F155" s="643">
        <v>4462</v>
      </c>
      <c r="G155" s="643">
        <v>4486</v>
      </c>
      <c r="H155" s="644">
        <f>(G155-F155)*100/F155</f>
        <v>0.5378753922008068</v>
      </c>
      <c r="I155" s="56"/>
      <c r="J155" s="56"/>
      <c r="K155" s="56"/>
      <c r="L155" s="56"/>
      <c r="M155" s="56"/>
    </row>
    <row r="156" spans="1:13" ht="18">
      <c r="A156" s="1353"/>
      <c r="B156" s="642" t="s">
        <v>356</v>
      </c>
      <c r="C156" s="641" t="s">
        <v>866</v>
      </c>
      <c r="D156" s="642" t="s">
        <v>1191</v>
      </c>
      <c r="E156" s="642" t="s">
        <v>737</v>
      </c>
      <c r="F156" s="643">
        <v>4462</v>
      </c>
      <c r="G156" s="643">
        <v>4486</v>
      </c>
      <c r="H156" s="644">
        <f>(G156-F156)*100/F156</f>
        <v>0.5378753922008068</v>
      </c>
      <c r="I156" s="418"/>
      <c r="J156" s="418"/>
      <c r="K156" s="418"/>
      <c r="L156" s="418"/>
      <c r="M156" s="418"/>
    </row>
    <row r="157" spans="1:13" ht="9.75" customHeight="1">
      <c r="A157" s="661"/>
      <c r="B157" s="731"/>
      <c r="C157" s="489"/>
      <c r="D157" s="682"/>
      <c r="E157" s="682"/>
      <c r="F157" s="683"/>
      <c r="G157" s="683"/>
      <c r="H157" s="644"/>
      <c r="I157" s="418"/>
      <c r="J157" s="418"/>
      <c r="K157" s="418"/>
      <c r="L157" s="418"/>
      <c r="M157" s="418"/>
    </row>
    <row r="158" spans="1:13" ht="17.25" customHeight="1">
      <c r="A158" s="1352" t="s">
        <v>1192</v>
      </c>
      <c r="B158" s="655"/>
      <c r="C158" s="641" t="s">
        <v>1498</v>
      </c>
      <c r="D158" s="657"/>
      <c r="E158" s="656"/>
      <c r="F158" s="643"/>
      <c r="G158" s="643"/>
      <c r="H158" s="644"/>
      <c r="I158" s="418"/>
      <c r="J158" s="418"/>
      <c r="L158" s="418"/>
      <c r="M158" s="418"/>
    </row>
    <row r="159" spans="1:13" ht="18" customHeight="1">
      <c r="A159" s="1352"/>
      <c r="B159" s="642" t="s">
        <v>71</v>
      </c>
      <c r="C159" s="641" t="s">
        <v>1193</v>
      </c>
      <c r="D159" s="642" t="s">
        <v>1194</v>
      </c>
      <c r="E159" s="642" t="s">
        <v>1611</v>
      </c>
      <c r="F159" s="643">
        <v>87177</v>
      </c>
      <c r="G159" s="643">
        <v>73838</v>
      </c>
      <c r="H159" s="644">
        <f>(G159-F159)*100/F159</f>
        <v>-15.301054177133878</v>
      </c>
      <c r="I159" s="418"/>
      <c r="J159" s="418"/>
      <c r="L159" s="490"/>
      <c r="M159" s="418"/>
    </row>
    <row r="160" spans="1:13" ht="9" customHeight="1">
      <c r="A160" s="661"/>
      <c r="B160" s="731"/>
      <c r="C160" s="489"/>
      <c r="D160" s="682"/>
      <c r="E160" s="682"/>
      <c r="F160" s="683"/>
      <c r="G160" s="683"/>
      <c r="H160" s="735"/>
      <c r="I160" s="418"/>
      <c r="J160" s="418"/>
      <c r="K160" s="375"/>
      <c r="L160" s="418"/>
      <c r="M160" s="418"/>
    </row>
    <row r="161" spans="1:13" ht="36">
      <c r="A161" s="1352" t="s">
        <v>1195</v>
      </c>
      <c r="B161" s="728"/>
      <c r="C161" s="736" t="s">
        <v>1196</v>
      </c>
      <c r="D161" s="737"/>
      <c r="E161" s="693"/>
      <c r="F161" s="738"/>
      <c r="G161" s="738"/>
      <c r="H161" s="644"/>
      <c r="I161" s="418"/>
      <c r="J161" s="418"/>
      <c r="K161" s="375"/>
      <c r="L161" s="418"/>
      <c r="M161" s="418"/>
    </row>
    <row r="162" spans="1:13" ht="74.25" customHeight="1">
      <c r="A162" s="1352"/>
      <c r="B162" s="642" t="s">
        <v>71</v>
      </c>
      <c r="C162" s="739" t="s">
        <v>985</v>
      </c>
      <c r="D162" s="642" t="s">
        <v>986</v>
      </c>
      <c r="E162" s="642" t="s">
        <v>1611</v>
      </c>
      <c r="F162" s="643">
        <v>1043835</v>
      </c>
      <c r="G162" s="643">
        <v>1051129</v>
      </c>
      <c r="H162" s="644">
        <f>(G162-F162)*100/F162</f>
        <v>0.6987694415305101</v>
      </c>
      <c r="I162" s="418"/>
      <c r="J162" s="418"/>
      <c r="K162" s="374"/>
      <c r="L162" s="418"/>
      <c r="M162" s="418"/>
    </row>
    <row r="163" spans="1:13" ht="57.75" customHeight="1">
      <c r="A163" s="1352"/>
      <c r="B163" s="642" t="s">
        <v>1578</v>
      </c>
      <c r="C163" s="739" t="s">
        <v>987</v>
      </c>
      <c r="D163" s="642" t="s">
        <v>988</v>
      </c>
      <c r="E163" s="642" t="s">
        <v>1611</v>
      </c>
      <c r="F163" s="643">
        <v>865574</v>
      </c>
      <c r="G163" s="643">
        <v>872674</v>
      </c>
      <c r="H163" s="644">
        <f>(G163-F163)*100/F163</f>
        <v>0.8202649340206615</v>
      </c>
      <c r="I163" s="418"/>
      <c r="J163" s="418"/>
      <c r="K163" s="374"/>
      <c r="L163" s="418"/>
      <c r="M163" s="418"/>
    </row>
    <row r="164" spans="1:13" ht="9" customHeight="1">
      <c r="A164" s="480"/>
      <c r="B164" s="682"/>
      <c r="C164" s="740"/>
      <c r="D164" s="682"/>
      <c r="E164" s="682"/>
      <c r="F164" s="683"/>
      <c r="G164" s="683"/>
      <c r="H164" s="644"/>
      <c r="I164" s="418"/>
      <c r="J164" s="418"/>
      <c r="K164" s="374"/>
      <c r="L164" s="418"/>
      <c r="M164" s="418"/>
    </row>
    <row r="165" spans="1:13" ht="57" customHeight="1">
      <c r="A165" s="625" t="s">
        <v>190</v>
      </c>
      <c r="B165" s="642"/>
      <c r="C165" s="739" t="s">
        <v>2189</v>
      </c>
      <c r="D165" s="642" t="s">
        <v>2190</v>
      </c>
      <c r="E165" s="642" t="s">
        <v>1611</v>
      </c>
      <c r="F165" s="643">
        <v>0</v>
      </c>
      <c r="G165" s="643">
        <v>1166351</v>
      </c>
      <c r="H165" s="644"/>
      <c r="I165" s="741" t="s">
        <v>2191</v>
      </c>
      <c r="J165" s="418"/>
      <c r="K165" s="374"/>
      <c r="L165" s="418"/>
      <c r="M165" s="418"/>
    </row>
    <row r="166" spans="1:13" ht="9" customHeight="1">
      <c r="A166" s="480"/>
      <c r="B166" s="682"/>
      <c r="C166" s="740"/>
      <c r="D166" s="682"/>
      <c r="E166" s="682"/>
      <c r="F166" s="683"/>
      <c r="G166" s="683"/>
      <c r="H166" s="663"/>
      <c r="I166" s="418"/>
      <c r="J166" s="418"/>
      <c r="K166" s="374"/>
      <c r="L166" s="418"/>
      <c r="M166" s="418"/>
    </row>
    <row r="167" spans="1:13" ht="55.5" customHeight="1">
      <c r="A167" s="625" t="s">
        <v>1514</v>
      </c>
      <c r="B167" s="642"/>
      <c r="C167" s="739" t="s">
        <v>2192</v>
      </c>
      <c r="D167" s="642" t="s">
        <v>2193</v>
      </c>
      <c r="E167" s="642" t="s">
        <v>1611</v>
      </c>
      <c r="F167" s="643">
        <v>0</v>
      </c>
      <c r="G167" s="643">
        <v>12140</v>
      </c>
      <c r="H167" s="644"/>
      <c r="I167" s="741" t="s">
        <v>2191</v>
      </c>
      <c r="J167" s="418"/>
      <c r="K167" s="374"/>
      <c r="L167" s="418"/>
      <c r="M167" s="418"/>
    </row>
    <row r="168" spans="1:13" ht="9.75" customHeight="1">
      <c r="A168" s="742"/>
      <c r="B168" s="709"/>
      <c r="C168" s="709"/>
      <c r="D168" s="710"/>
      <c r="E168" s="709"/>
      <c r="F168" s="711"/>
      <c r="G168" s="711"/>
      <c r="H168" s="663"/>
      <c r="I168" s="418"/>
      <c r="J168" s="418"/>
      <c r="K168" s="374"/>
      <c r="L168" s="418"/>
      <c r="M168" s="418"/>
    </row>
    <row r="169" spans="1:13" ht="18">
      <c r="A169" s="1359" t="s">
        <v>989</v>
      </c>
      <c r="B169" s="1360"/>
      <c r="C169" s="1360"/>
      <c r="D169" s="743"/>
      <c r="E169" s="376"/>
      <c r="F169" s="670"/>
      <c r="G169" s="670"/>
      <c r="H169" s="663"/>
      <c r="I169" s="56"/>
      <c r="J169" s="56"/>
      <c r="K169" s="56"/>
      <c r="L169" s="56"/>
      <c r="M169" s="56"/>
    </row>
    <row r="170" spans="1:13" ht="11.25" customHeight="1">
      <c r="A170" s="744"/>
      <c r="B170" s="724"/>
      <c r="C170" s="726"/>
      <c r="D170" s="725"/>
      <c r="E170" s="726"/>
      <c r="F170" s="727"/>
      <c r="G170" s="727"/>
      <c r="H170" s="663"/>
      <c r="I170" s="56"/>
      <c r="J170" s="56"/>
      <c r="K170" s="56"/>
      <c r="L170" s="56"/>
      <c r="M170" s="56"/>
    </row>
    <row r="171" spans="1:13" ht="40.5" customHeight="1">
      <c r="A171" s="1349" t="s">
        <v>990</v>
      </c>
      <c r="B171" s="745"/>
      <c r="C171" s="745" t="s">
        <v>1867</v>
      </c>
      <c r="D171" s="664"/>
      <c r="E171" s="665"/>
      <c r="F171" s="653"/>
      <c r="G171" s="653"/>
      <c r="H171" s="644"/>
      <c r="I171" s="56"/>
      <c r="J171" s="56"/>
      <c r="K171" s="56"/>
      <c r="L171" s="56"/>
      <c r="M171" s="56"/>
    </row>
    <row r="172" spans="1:13" ht="11.25" customHeight="1">
      <c r="A172" s="1350"/>
      <c r="B172" s="655"/>
      <c r="C172" s="656"/>
      <c r="D172" s="657"/>
      <c r="E172" s="656"/>
      <c r="F172" s="658"/>
      <c r="G172" s="658"/>
      <c r="H172" s="644"/>
      <c r="I172" s="56"/>
      <c r="J172" s="56"/>
      <c r="K172" s="56"/>
      <c r="L172" s="56"/>
      <c r="M172" s="56"/>
    </row>
    <row r="173" spans="1:13" ht="27.75" customHeight="1">
      <c r="A173" s="1350"/>
      <c r="B173" s="642" t="s">
        <v>71</v>
      </c>
      <c r="C173" s="641" t="s">
        <v>201</v>
      </c>
      <c r="D173" s="642" t="s">
        <v>992</v>
      </c>
      <c r="E173" s="642" t="s">
        <v>1611</v>
      </c>
      <c r="F173" s="643">
        <v>127455</v>
      </c>
      <c r="G173" s="643">
        <v>119446</v>
      </c>
      <c r="H173" s="644">
        <f>(G173-F173)*100/F173</f>
        <v>-6.283786434427837</v>
      </c>
      <c r="I173" s="56"/>
      <c r="J173" s="56"/>
      <c r="K173" s="56"/>
      <c r="L173" s="56"/>
      <c r="M173" s="56"/>
    </row>
    <row r="174" spans="1:13" ht="25.5" customHeight="1">
      <c r="A174" s="1350"/>
      <c r="B174" s="642" t="s">
        <v>1578</v>
      </c>
      <c r="C174" s="641" t="s">
        <v>202</v>
      </c>
      <c r="D174" s="642" t="s">
        <v>994</v>
      </c>
      <c r="E174" s="642" t="s">
        <v>1611</v>
      </c>
      <c r="F174" s="643">
        <v>182347</v>
      </c>
      <c r="G174" s="643">
        <v>172454</v>
      </c>
      <c r="H174" s="644">
        <f>(G174-F174)*100/F174</f>
        <v>-5.42537031045205</v>
      </c>
      <c r="I174" s="56"/>
      <c r="J174" s="56"/>
      <c r="K174" s="56"/>
      <c r="L174" s="56"/>
      <c r="M174" s="56"/>
    </row>
    <row r="175" spans="1:13" ht="37.5" customHeight="1">
      <c r="A175" s="1350"/>
      <c r="B175" s="642" t="s">
        <v>352</v>
      </c>
      <c r="C175" s="641" t="s">
        <v>995</v>
      </c>
      <c r="D175" s="642" t="s">
        <v>813</v>
      </c>
      <c r="E175" s="642" t="s">
        <v>1611</v>
      </c>
      <c r="F175" s="643">
        <v>269627</v>
      </c>
      <c r="G175" s="643">
        <v>251071</v>
      </c>
      <c r="H175" s="644">
        <f>(G175-F175)*100/F175</f>
        <v>-6.882100086415678</v>
      </c>
      <c r="I175" s="56"/>
      <c r="J175" s="56"/>
      <c r="K175" s="56"/>
      <c r="L175" s="56"/>
      <c r="M175" s="56"/>
    </row>
    <row r="176" spans="1:13" ht="39" customHeight="1">
      <c r="A176" s="1353"/>
      <c r="B176" s="642" t="s">
        <v>354</v>
      </c>
      <c r="C176" s="641" t="s">
        <v>1868</v>
      </c>
      <c r="D176" s="642" t="s">
        <v>2070</v>
      </c>
      <c r="E176" s="642" t="s">
        <v>1611</v>
      </c>
      <c r="F176" s="643">
        <v>411174</v>
      </c>
      <c r="G176" s="643">
        <v>378952</v>
      </c>
      <c r="H176" s="644">
        <f>(G176-F176)*100/F176</f>
        <v>-7.836584998078672</v>
      </c>
      <c r="I176" s="56"/>
      <c r="J176" s="56"/>
      <c r="K176" s="56"/>
      <c r="L176" s="56"/>
      <c r="M176" s="56"/>
    </row>
    <row r="177" spans="1:13" ht="9.75" customHeight="1">
      <c r="A177" s="642"/>
      <c r="B177" s="646"/>
      <c r="C177" s="647"/>
      <c r="D177" s="648"/>
      <c r="E177" s="647"/>
      <c r="F177" s="649"/>
      <c r="G177" s="649"/>
      <c r="H177" s="644"/>
      <c r="I177" s="56"/>
      <c r="J177" s="56"/>
      <c r="K177" s="56"/>
      <c r="L177" s="56"/>
      <c r="M177" s="56"/>
    </row>
    <row r="178" spans="1:13" ht="40.5" customHeight="1">
      <c r="A178" s="1349" t="s">
        <v>2071</v>
      </c>
      <c r="B178" s="641"/>
      <c r="C178" s="745" t="s">
        <v>1867</v>
      </c>
      <c r="D178" s="664"/>
      <c r="E178" s="665"/>
      <c r="F178" s="653"/>
      <c r="G178" s="653"/>
      <c r="H178" s="644"/>
      <c r="I178" s="56"/>
      <c r="J178" s="56"/>
      <c r="K178" s="56"/>
      <c r="L178" s="56"/>
      <c r="M178" s="56"/>
    </row>
    <row r="179" spans="1:13" ht="37.5" customHeight="1">
      <c r="A179" s="1350"/>
      <c r="B179" s="642" t="s">
        <v>71</v>
      </c>
      <c r="C179" s="641" t="s">
        <v>2072</v>
      </c>
      <c r="D179" s="686" t="s">
        <v>2073</v>
      </c>
      <c r="E179" s="686" t="s">
        <v>1611</v>
      </c>
      <c r="F179" s="707">
        <v>163164</v>
      </c>
      <c r="G179" s="707">
        <v>143836</v>
      </c>
      <c r="H179" s="644">
        <f>(G179-F179)*100/F179</f>
        <v>-11.845750288053738</v>
      </c>
      <c r="I179" s="56"/>
      <c r="J179" s="56"/>
      <c r="K179" s="56"/>
      <c r="L179" s="56"/>
      <c r="M179" s="56"/>
    </row>
    <row r="180" spans="1:13" ht="37.5" customHeight="1">
      <c r="A180" s="1350"/>
      <c r="B180" s="642" t="s">
        <v>1578</v>
      </c>
      <c r="C180" s="641" t="s">
        <v>2074</v>
      </c>
      <c r="D180" s="642" t="s">
        <v>2075</v>
      </c>
      <c r="E180" s="642" t="s">
        <v>1611</v>
      </c>
      <c r="F180" s="643">
        <v>218056</v>
      </c>
      <c r="G180" s="643">
        <v>196844</v>
      </c>
      <c r="H180" s="644">
        <f>(G180-F180)*100/F180</f>
        <v>-9.727776351029094</v>
      </c>
      <c r="I180" s="56"/>
      <c r="J180" s="56"/>
      <c r="K180" s="56"/>
      <c r="L180" s="56"/>
      <c r="M180" s="56"/>
    </row>
    <row r="181" spans="1:13" ht="38.25" customHeight="1">
      <c r="A181" s="1350"/>
      <c r="B181" s="642" t="s">
        <v>352</v>
      </c>
      <c r="C181" s="641" t="s">
        <v>2253</v>
      </c>
      <c r="D181" s="642" t="s">
        <v>2254</v>
      </c>
      <c r="E181" s="642" t="s">
        <v>1611</v>
      </c>
      <c r="F181" s="643">
        <v>269237</v>
      </c>
      <c r="G181" s="643">
        <v>250890</v>
      </c>
      <c r="H181" s="644">
        <f>(G181-F181)*100/F181</f>
        <v>-6.814442294335474</v>
      </c>
      <c r="I181" s="56"/>
      <c r="J181" s="56"/>
      <c r="K181" s="56"/>
      <c r="L181" s="56"/>
      <c r="M181" s="56"/>
    </row>
    <row r="182" spans="1:13" ht="40.5" customHeight="1">
      <c r="A182" s="1353"/>
      <c r="B182" s="674" t="s">
        <v>354</v>
      </c>
      <c r="C182" s="673" t="s">
        <v>222</v>
      </c>
      <c r="D182" s="746" t="s">
        <v>223</v>
      </c>
      <c r="E182" s="674" t="s">
        <v>1611</v>
      </c>
      <c r="F182" s="675">
        <v>411403</v>
      </c>
      <c r="G182" s="675">
        <v>379297</v>
      </c>
      <c r="H182" s="644">
        <f>(G182-F182)*100/F182</f>
        <v>-7.804026708604458</v>
      </c>
      <c r="I182" s="56"/>
      <c r="J182" s="56"/>
      <c r="K182" s="56"/>
      <c r="L182" s="56"/>
      <c r="M182" s="56"/>
    </row>
    <row r="183" spans="1:13" ht="9.75" customHeight="1">
      <c r="A183" s="642"/>
      <c r="B183" s="688"/>
      <c r="C183" s="690"/>
      <c r="D183" s="689"/>
      <c r="E183" s="690"/>
      <c r="F183" s="691"/>
      <c r="G183" s="691"/>
      <c r="H183" s="644"/>
      <c r="I183" s="56"/>
      <c r="J183" s="56"/>
      <c r="K183" s="56"/>
      <c r="L183" s="56"/>
      <c r="M183" s="56"/>
    </row>
    <row r="184" spans="1:13" ht="75.75" customHeight="1">
      <c r="A184" s="1349" t="s">
        <v>224</v>
      </c>
      <c r="B184" s="642"/>
      <c r="C184" s="641" t="s">
        <v>492</v>
      </c>
      <c r="D184" s="747"/>
      <c r="E184" s="690"/>
      <c r="F184" s="691"/>
      <c r="G184" s="691"/>
      <c r="H184" s="644"/>
      <c r="I184" s="56"/>
      <c r="J184" s="56"/>
      <c r="K184" s="56"/>
      <c r="L184" s="56"/>
      <c r="M184" s="56"/>
    </row>
    <row r="185" spans="1:13" ht="37.5" customHeight="1">
      <c r="A185" s="1350"/>
      <c r="B185" s="642" t="s">
        <v>71</v>
      </c>
      <c r="C185" s="641" t="s">
        <v>2072</v>
      </c>
      <c r="D185" s="642" t="s">
        <v>493</v>
      </c>
      <c r="E185" s="642" t="s">
        <v>1611</v>
      </c>
      <c r="F185" s="643">
        <v>104012</v>
      </c>
      <c r="G185" s="643">
        <v>89146</v>
      </c>
      <c r="H185" s="644">
        <f>(G185-F185)*100/F185</f>
        <v>-14.292581625197093</v>
      </c>
      <c r="I185" s="56"/>
      <c r="J185" s="56"/>
      <c r="K185" s="56"/>
      <c r="L185" s="56"/>
      <c r="M185" s="56"/>
    </row>
    <row r="186" spans="1:13" ht="38.25" customHeight="1">
      <c r="A186" s="1350"/>
      <c r="B186" s="642" t="s">
        <v>1578</v>
      </c>
      <c r="C186" s="641" t="s">
        <v>494</v>
      </c>
      <c r="D186" s="642" t="s">
        <v>495</v>
      </c>
      <c r="E186" s="642" t="s">
        <v>1611</v>
      </c>
      <c r="F186" s="643">
        <v>121859</v>
      </c>
      <c r="G186" s="643">
        <v>105263</v>
      </c>
      <c r="H186" s="644">
        <f>(G186-F186)*100/F186</f>
        <v>-13.619018701942409</v>
      </c>
      <c r="I186" s="56"/>
      <c r="J186" s="56"/>
      <c r="K186" s="56"/>
      <c r="L186" s="56"/>
      <c r="M186" s="56"/>
    </row>
    <row r="187" spans="1:13" ht="38.25" customHeight="1">
      <c r="A187" s="1350"/>
      <c r="B187" s="642" t="s">
        <v>352</v>
      </c>
      <c r="C187" s="641" t="s">
        <v>559</v>
      </c>
      <c r="D187" s="642" t="s">
        <v>560</v>
      </c>
      <c r="E187" s="642" t="s">
        <v>1611</v>
      </c>
      <c r="F187" s="643">
        <v>139468</v>
      </c>
      <c r="G187" s="643">
        <v>123707</v>
      </c>
      <c r="H187" s="644">
        <f>(G187-F187)*100/F187</f>
        <v>-11.300800183554651</v>
      </c>
      <c r="I187" s="56"/>
      <c r="J187" s="56"/>
      <c r="K187" s="56"/>
      <c r="L187" s="56"/>
      <c r="M187" s="56"/>
    </row>
    <row r="188" spans="1:13" ht="39" customHeight="1">
      <c r="A188" s="1353"/>
      <c r="B188" s="642" t="s">
        <v>354</v>
      </c>
      <c r="C188" s="641" t="s">
        <v>561</v>
      </c>
      <c r="D188" s="642" t="s">
        <v>562</v>
      </c>
      <c r="E188" s="642" t="s">
        <v>1611</v>
      </c>
      <c r="F188" s="643">
        <v>170788</v>
      </c>
      <c r="G188" s="643">
        <v>156292</v>
      </c>
      <c r="H188" s="644">
        <f>(G188-F188)*100/F188</f>
        <v>-8.487715764573624</v>
      </c>
      <c r="I188" s="56"/>
      <c r="J188" s="56"/>
      <c r="K188" s="56"/>
      <c r="L188" s="56"/>
      <c r="M188" s="56"/>
    </row>
    <row r="189" spans="1:13" ht="11.25" customHeight="1">
      <c r="A189" s="642"/>
      <c r="B189" s="748"/>
      <c r="C189" s="749"/>
      <c r="D189" s="750"/>
      <c r="E189" s="749"/>
      <c r="F189" s="727"/>
      <c r="G189" s="727"/>
      <c r="H189" s="644"/>
      <c r="I189" s="56"/>
      <c r="J189" s="56"/>
      <c r="K189" s="56"/>
      <c r="L189" s="56"/>
      <c r="M189" s="56"/>
    </row>
    <row r="190" spans="1:13" ht="36">
      <c r="A190" s="1349" t="s">
        <v>563</v>
      </c>
      <c r="B190" s="642"/>
      <c r="C190" s="641" t="s">
        <v>564</v>
      </c>
      <c r="D190" s="747"/>
      <c r="E190" s="690"/>
      <c r="F190" s="691"/>
      <c r="G190" s="691"/>
      <c r="H190" s="644"/>
      <c r="I190" s="56"/>
      <c r="J190" s="56"/>
      <c r="K190" s="56"/>
      <c r="L190" s="56"/>
      <c r="M190" s="56"/>
    </row>
    <row r="191" spans="1:13" ht="37.5" customHeight="1">
      <c r="A191" s="1350"/>
      <c r="B191" s="642" t="s">
        <v>71</v>
      </c>
      <c r="C191" s="641" t="s">
        <v>565</v>
      </c>
      <c r="D191" s="642" t="s">
        <v>566</v>
      </c>
      <c r="E191" s="642" t="s">
        <v>1611</v>
      </c>
      <c r="F191" s="707">
        <v>23299</v>
      </c>
      <c r="G191" s="707">
        <v>19827</v>
      </c>
      <c r="H191" s="644">
        <f>(G191-F191)*100/F191</f>
        <v>-14.90192712133568</v>
      </c>
      <c r="I191" s="56"/>
      <c r="J191" s="56"/>
      <c r="K191" s="56"/>
      <c r="L191" s="56"/>
      <c r="M191" s="56"/>
    </row>
    <row r="192" spans="1:13" ht="37.5" customHeight="1">
      <c r="A192" s="1350"/>
      <c r="B192" s="642" t="s">
        <v>1578</v>
      </c>
      <c r="C192" s="641" t="s">
        <v>567</v>
      </c>
      <c r="D192" s="642" t="s">
        <v>568</v>
      </c>
      <c r="E192" s="642" t="s">
        <v>1611</v>
      </c>
      <c r="F192" s="707">
        <v>39399</v>
      </c>
      <c r="G192" s="707">
        <v>35897</v>
      </c>
      <c r="H192" s="644">
        <f>(G192-F192)*100/F192</f>
        <v>-8.888550470824132</v>
      </c>
      <c r="I192" s="56"/>
      <c r="J192" s="56"/>
      <c r="K192" s="56"/>
      <c r="L192" s="56"/>
      <c r="M192" s="56"/>
    </row>
    <row r="193" spans="1:13" ht="37.5" customHeight="1">
      <c r="A193" s="1350"/>
      <c r="B193" s="642" t="s">
        <v>352</v>
      </c>
      <c r="C193" s="641" t="s">
        <v>569</v>
      </c>
      <c r="D193" s="642" t="s">
        <v>1859</v>
      </c>
      <c r="E193" s="642" t="s">
        <v>1611</v>
      </c>
      <c r="F193" s="707">
        <v>48779</v>
      </c>
      <c r="G193" s="707">
        <v>45084</v>
      </c>
      <c r="H193" s="644">
        <f>(G193-F193)*100/F193</f>
        <v>-7.574981036921626</v>
      </c>
      <c r="I193" s="56"/>
      <c r="J193" s="56"/>
      <c r="K193" s="56"/>
      <c r="L193" s="56"/>
      <c r="M193" s="56"/>
    </row>
    <row r="194" spans="1:13" ht="37.5" customHeight="1">
      <c r="A194" s="1350"/>
      <c r="B194" s="642" t="s">
        <v>354</v>
      </c>
      <c r="C194" s="641" t="s">
        <v>1860</v>
      </c>
      <c r="D194" s="642" t="s">
        <v>1861</v>
      </c>
      <c r="E194" s="642" t="s">
        <v>1611</v>
      </c>
      <c r="F194" s="707">
        <v>79053</v>
      </c>
      <c r="G194" s="707">
        <v>76498</v>
      </c>
      <c r="H194" s="644">
        <f>(G194-F194)*100/F194</f>
        <v>-3.232008905417884</v>
      </c>
      <c r="I194" s="56"/>
      <c r="J194" s="56"/>
      <c r="K194" s="56"/>
      <c r="L194" s="56"/>
      <c r="M194" s="56"/>
    </row>
    <row r="195" spans="1:13" ht="39" customHeight="1">
      <c r="A195" s="1353"/>
      <c r="B195" s="674" t="s">
        <v>356</v>
      </c>
      <c r="C195" s="673" t="s">
        <v>1862</v>
      </c>
      <c r="D195" s="674" t="s">
        <v>1863</v>
      </c>
      <c r="E195" s="674" t="s">
        <v>1611</v>
      </c>
      <c r="F195" s="715">
        <v>91550</v>
      </c>
      <c r="G195" s="715">
        <v>88994</v>
      </c>
      <c r="H195" s="644">
        <f>(G195-F195)*100/F195</f>
        <v>-2.7919169852539594</v>
      </c>
      <c r="I195" s="56"/>
      <c r="J195" s="56"/>
      <c r="K195" s="56"/>
      <c r="L195" s="56"/>
      <c r="M195" s="56"/>
    </row>
    <row r="196" spans="1:13" ht="9.75" customHeight="1">
      <c r="A196" s="642"/>
      <c r="B196" s="652"/>
      <c r="C196" s="665"/>
      <c r="D196" s="692"/>
      <c r="E196" s="665"/>
      <c r="F196" s="653"/>
      <c r="G196" s="653"/>
      <c r="H196" s="644"/>
      <c r="I196" s="56"/>
      <c r="J196" s="56"/>
      <c r="K196" s="56"/>
      <c r="L196" s="56"/>
      <c r="M196" s="56"/>
    </row>
    <row r="197" spans="1:13" ht="39.75" customHeight="1">
      <c r="A197" s="1352" t="s">
        <v>1864</v>
      </c>
      <c r="B197" s="686"/>
      <c r="C197" s="751" t="s">
        <v>1869</v>
      </c>
      <c r="D197" s="664"/>
      <c r="E197" s="665"/>
      <c r="F197" s="653"/>
      <c r="G197" s="653"/>
      <c r="H197" s="644"/>
      <c r="I197" s="56"/>
      <c r="J197" s="56"/>
      <c r="K197" s="56"/>
      <c r="L197" s="56"/>
      <c r="M197" s="56"/>
    </row>
    <row r="198" spans="1:13" ht="25.5" customHeight="1">
      <c r="A198" s="1352"/>
      <c r="B198" s="642" t="s">
        <v>71</v>
      </c>
      <c r="C198" s="641" t="s">
        <v>991</v>
      </c>
      <c r="D198" s="686" t="s">
        <v>1865</v>
      </c>
      <c r="E198" s="686" t="s">
        <v>1611</v>
      </c>
      <c r="F198" s="707">
        <v>126281</v>
      </c>
      <c r="G198" s="707">
        <v>119679</v>
      </c>
      <c r="H198" s="644">
        <f aca="true" t="shared" si="0" ref="H198:H206">(G198-F198)*100/F198</f>
        <v>-5.228023218061308</v>
      </c>
      <c r="I198" s="56"/>
      <c r="J198" s="56"/>
      <c r="K198" s="56"/>
      <c r="L198" s="56"/>
      <c r="M198" s="56"/>
    </row>
    <row r="199" spans="1:13" ht="26.25" customHeight="1">
      <c r="A199" s="1352"/>
      <c r="B199" s="642" t="s">
        <v>1578</v>
      </c>
      <c r="C199" s="641" t="s">
        <v>993</v>
      </c>
      <c r="D199" s="642" t="s">
        <v>1922</v>
      </c>
      <c r="E199" s="642" t="s">
        <v>1611</v>
      </c>
      <c r="F199" s="643">
        <v>180503</v>
      </c>
      <c r="G199" s="643">
        <v>172408</v>
      </c>
      <c r="H199" s="644">
        <f t="shared" si="0"/>
        <v>-4.484690005152269</v>
      </c>
      <c r="I199" s="56"/>
      <c r="J199" s="56"/>
      <c r="K199" s="56"/>
      <c r="L199" s="56"/>
      <c r="M199" s="56"/>
    </row>
    <row r="200" spans="1:13" ht="36">
      <c r="A200" s="1352"/>
      <c r="B200" s="642" t="s">
        <v>352</v>
      </c>
      <c r="C200" s="641" t="s">
        <v>995</v>
      </c>
      <c r="D200" s="642" t="s">
        <v>1923</v>
      </c>
      <c r="E200" s="642" t="s">
        <v>1611</v>
      </c>
      <c r="F200" s="643">
        <v>265009</v>
      </c>
      <c r="G200" s="643">
        <v>249131</v>
      </c>
      <c r="H200" s="644">
        <f t="shared" si="0"/>
        <v>-5.991494628484316</v>
      </c>
      <c r="I200" s="56"/>
      <c r="J200" s="56"/>
      <c r="K200" s="56"/>
      <c r="L200" s="56"/>
      <c r="M200" s="56"/>
    </row>
    <row r="201" spans="1:13" ht="42" customHeight="1">
      <c r="A201" s="1352"/>
      <c r="B201" s="642" t="s">
        <v>354</v>
      </c>
      <c r="C201" s="641" t="s">
        <v>1868</v>
      </c>
      <c r="D201" s="642" t="s">
        <v>1924</v>
      </c>
      <c r="E201" s="642" t="s">
        <v>1611</v>
      </c>
      <c r="F201" s="643">
        <v>399951</v>
      </c>
      <c r="G201" s="643">
        <v>368657</v>
      </c>
      <c r="H201" s="644">
        <f t="shared" si="0"/>
        <v>-7.82445849616578</v>
      </c>
      <c r="I201" s="56"/>
      <c r="J201" s="56"/>
      <c r="K201" s="56"/>
      <c r="L201" s="56"/>
      <c r="M201" s="56"/>
    </row>
    <row r="202" spans="1:13" ht="9.75" customHeight="1">
      <c r="A202" s="654"/>
      <c r="B202" s="642"/>
      <c r="C202" s="641"/>
      <c r="D202" s="642"/>
      <c r="E202" s="642"/>
      <c r="F202" s="643"/>
      <c r="G202" s="643"/>
      <c r="H202" s="644"/>
      <c r="I202" s="56"/>
      <c r="J202" s="56"/>
      <c r="K202" s="56"/>
      <c r="L202" s="56"/>
      <c r="M202" s="56"/>
    </row>
    <row r="203" spans="1:13" ht="39" customHeight="1">
      <c r="A203" s="1352" t="s">
        <v>1925</v>
      </c>
      <c r="B203" s="642" t="s">
        <v>356</v>
      </c>
      <c r="C203" s="641" t="s">
        <v>2072</v>
      </c>
      <c r="D203" s="642" t="s">
        <v>1910</v>
      </c>
      <c r="E203" s="642" t="s">
        <v>1611</v>
      </c>
      <c r="F203" s="643">
        <v>161988</v>
      </c>
      <c r="G203" s="643">
        <v>144069</v>
      </c>
      <c r="H203" s="644">
        <f t="shared" si="0"/>
        <v>-11.061930513371362</v>
      </c>
      <c r="I203" s="56"/>
      <c r="J203" s="56"/>
      <c r="K203" s="56"/>
      <c r="L203" s="56"/>
      <c r="M203" s="56"/>
    </row>
    <row r="204" spans="1:13" ht="38.25" customHeight="1">
      <c r="A204" s="1352"/>
      <c r="B204" s="642" t="s">
        <v>358</v>
      </c>
      <c r="C204" s="641" t="s">
        <v>494</v>
      </c>
      <c r="D204" s="642" t="s">
        <v>1911</v>
      </c>
      <c r="E204" s="642" t="s">
        <v>1611</v>
      </c>
      <c r="F204" s="643">
        <v>216210</v>
      </c>
      <c r="G204" s="643">
        <v>196797</v>
      </c>
      <c r="H204" s="644">
        <f t="shared" si="0"/>
        <v>-8.97877063965589</v>
      </c>
      <c r="I204" s="56"/>
      <c r="J204" s="56"/>
      <c r="K204" s="56"/>
      <c r="L204" s="56"/>
      <c r="M204" s="56"/>
    </row>
    <row r="205" spans="1:13" ht="37.5" customHeight="1">
      <c r="A205" s="1352"/>
      <c r="B205" s="642" t="s">
        <v>359</v>
      </c>
      <c r="C205" s="641" t="s">
        <v>1912</v>
      </c>
      <c r="D205" s="642" t="s">
        <v>1913</v>
      </c>
      <c r="E205" s="642" t="s">
        <v>1611</v>
      </c>
      <c r="F205" s="643">
        <v>265105</v>
      </c>
      <c r="G205" s="643">
        <v>249394</v>
      </c>
      <c r="H205" s="644">
        <f t="shared" si="0"/>
        <v>-5.926331076365968</v>
      </c>
      <c r="I205" s="56"/>
      <c r="J205" s="56"/>
      <c r="K205" s="56"/>
      <c r="L205" s="56"/>
      <c r="M205" s="56"/>
    </row>
    <row r="206" spans="1:13" ht="39" customHeight="1">
      <c r="A206" s="1352"/>
      <c r="B206" s="642" t="s">
        <v>362</v>
      </c>
      <c r="C206" s="641" t="s">
        <v>1914</v>
      </c>
      <c r="D206" s="642" t="s">
        <v>1915</v>
      </c>
      <c r="E206" s="642" t="s">
        <v>1611</v>
      </c>
      <c r="F206" s="643">
        <v>400666</v>
      </c>
      <c r="G206" s="643">
        <v>369446</v>
      </c>
      <c r="H206" s="644">
        <f t="shared" si="0"/>
        <v>-7.792026276250044</v>
      </c>
      <c r="I206" s="56"/>
      <c r="J206" s="56"/>
      <c r="K206" s="56"/>
      <c r="L206" s="56"/>
      <c r="M206" s="56"/>
    </row>
    <row r="207" spans="1:13" ht="9.75" customHeight="1">
      <c r="A207" s="654"/>
      <c r="B207" s="642"/>
      <c r="C207" s="641"/>
      <c r="D207" s="642"/>
      <c r="E207" s="642"/>
      <c r="F207" s="643"/>
      <c r="G207" s="643"/>
      <c r="H207" s="644"/>
      <c r="I207" s="56"/>
      <c r="J207" s="56"/>
      <c r="K207" s="56"/>
      <c r="L207" s="56"/>
      <c r="M207" s="56"/>
    </row>
    <row r="208" spans="1:13" ht="54">
      <c r="A208" s="1349" t="s">
        <v>1841</v>
      </c>
      <c r="B208" s="642"/>
      <c r="C208" s="745" t="s">
        <v>1916</v>
      </c>
      <c r="D208" s="752"/>
      <c r="E208" s="489"/>
      <c r="F208" s="662"/>
      <c r="G208" s="662"/>
      <c r="H208" s="644"/>
      <c r="I208" s="56"/>
      <c r="J208" s="56"/>
      <c r="K208" s="56"/>
      <c r="L208" s="56"/>
      <c r="M208" s="56"/>
    </row>
    <row r="209" spans="1:13" ht="18.75" customHeight="1">
      <c r="A209" s="1350"/>
      <c r="B209" s="642" t="s">
        <v>71</v>
      </c>
      <c r="C209" s="641" t="s">
        <v>2095</v>
      </c>
      <c r="D209" s="642" t="s">
        <v>341</v>
      </c>
      <c r="E209" s="642" t="s">
        <v>1611</v>
      </c>
      <c r="F209" s="643">
        <v>139612</v>
      </c>
      <c r="G209" s="643">
        <v>130670</v>
      </c>
      <c r="H209" s="644">
        <f>(G209-F209)*100/F209</f>
        <v>-6.404893562157981</v>
      </c>
      <c r="I209" s="56"/>
      <c r="J209" s="188"/>
      <c r="K209" s="56"/>
      <c r="L209" s="56"/>
      <c r="M209" s="56"/>
    </row>
    <row r="210" spans="1:13" ht="18.75" customHeight="1">
      <c r="A210" s="1350"/>
      <c r="B210" s="642" t="s">
        <v>1578</v>
      </c>
      <c r="C210" s="641" t="s">
        <v>2096</v>
      </c>
      <c r="D210" s="642" t="s">
        <v>342</v>
      </c>
      <c r="E210" s="642" t="s">
        <v>1611</v>
      </c>
      <c r="F210" s="643">
        <v>228275</v>
      </c>
      <c r="G210" s="643">
        <v>209641</v>
      </c>
      <c r="H210" s="644">
        <f>(G210-F210)*100/F210</f>
        <v>-8.162961340488446</v>
      </c>
      <c r="I210" s="56"/>
      <c r="J210" s="188"/>
      <c r="K210" s="56"/>
      <c r="L210" s="56"/>
      <c r="M210" s="56"/>
    </row>
    <row r="211" spans="1:13" ht="18.75" customHeight="1">
      <c r="A211" s="1353"/>
      <c r="B211" s="642" t="s">
        <v>352</v>
      </c>
      <c r="C211" s="641" t="s">
        <v>732</v>
      </c>
      <c r="D211" s="642" t="s">
        <v>343</v>
      </c>
      <c r="E211" s="642" t="s">
        <v>1611</v>
      </c>
      <c r="F211" s="643">
        <v>372427</v>
      </c>
      <c r="G211" s="643">
        <v>339624</v>
      </c>
      <c r="H211" s="644">
        <f>(G211-F211)*100/F211</f>
        <v>-8.807900608709895</v>
      </c>
      <c r="I211" s="56"/>
      <c r="J211" s="188"/>
      <c r="K211" s="56"/>
      <c r="L211" s="56"/>
      <c r="M211" s="56"/>
    </row>
    <row r="212" spans="1:13" ht="36">
      <c r="A212" s="625" t="s">
        <v>1846</v>
      </c>
      <c r="B212" s="642" t="s">
        <v>71</v>
      </c>
      <c r="C212" s="641" t="s">
        <v>344</v>
      </c>
      <c r="D212" s="642" t="s">
        <v>345</v>
      </c>
      <c r="E212" s="642" t="s">
        <v>1611</v>
      </c>
      <c r="F212" s="643">
        <v>121647</v>
      </c>
      <c r="G212" s="643">
        <v>115010</v>
      </c>
      <c r="H212" s="644">
        <f>(G212-F212)*100/F212</f>
        <v>-5.455950413902522</v>
      </c>
      <c r="I212" s="56"/>
      <c r="J212" s="188"/>
      <c r="K212" s="56"/>
      <c r="L212" s="56"/>
      <c r="M212" s="56"/>
    </row>
    <row r="213" spans="1:13" ht="36">
      <c r="A213" s="625" t="s">
        <v>1852</v>
      </c>
      <c r="B213" s="642" t="s">
        <v>1578</v>
      </c>
      <c r="C213" s="641" t="s">
        <v>2025</v>
      </c>
      <c r="D213" s="642" t="s">
        <v>2026</v>
      </c>
      <c r="E213" s="642" t="s">
        <v>1611</v>
      </c>
      <c r="F213" s="643">
        <v>102238</v>
      </c>
      <c r="G213" s="753" t="s">
        <v>540</v>
      </c>
      <c r="H213" s="644"/>
      <c r="I213" s="56"/>
      <c r="J213" s="188"/>
      <c r="K213" s="56"/>
      <c r="L213" s="56"/>
      <c r="M213" s="56"/>
    </row>
    <row r="214" spans="1:13" ht="54">
      <c r="A214" s="1349" t="s">
        <v>584</v>
      </c>
      <c r="B214" s="642"/>
      <c r="C214" s="745" t="s">
        <v>290</v>
      </c>
      <c r="D214" s="752"/>
      <c r="E214" s="489"/>
      <c r="F214" s="662"/>
      <c r="G214" s="662"/>
      <c r="H214" s="644"/>
      <c r="I214" s="56"/>
      <c r="J214" s="56"/>
      <c r="K214" s="56"/>
      <c r="L214" s="56"/>
      <c r="M214" s="56"/>
    </row>
    <row r="215" spans="1:13" ht="18">
      <c r="A215" s="1350"/>
      <c r="B215" s="642" t="s">
        <v>71</v>
      </c>
      <c r="C215" s="641" t="s">
        <v>291</v>
      </c>
      <c r="D215" s="642" t="s">
        <v>292</v>
      </c>
      <c r="E215" s="642" t="s">
        <v>1611</v>
      </c>
      <c r="F215" s="643">
        <v>75901</v>
      </c>
      <c r="G215" s="753" t="s">
        <v>540</v>
      </c>
      <c r="H215" s="644"/>
      <c r="I215" s="56"/>
      <c r="J215" s="56"/>
      <c r="K215" s="56"/>
      <c r="L215" s="56"/>
      <c r="M215" s="56"/>
    </row>
    <row r="216" spans="1:13" ht="20.25">
      <c r="A216" s="1350"/>
      <c r="B216" s="642" t="s">
        <v>1578</v>
      </c>
      <c r="C216" s="641" t="s">
        <v>2238</v>
      </c>
      <c r="D216" s="642" t="s">
        <v>2239</v>
      </c>
      <c r="E216" s="642" t="s">
        <v>1611</v>
      </c>
      <c r="F216" s="643">
        <v>87719</v>
      </c>
      <c r="G216" s="753" t="s">
        <v>540</v>
      </c>
      <c r="H216" s="644"/>
      <c r="I216" s="56"/>
      <c r="J216" s="419"/>
      <c r="K216" s="419"/>
      <c r="L216" s="419"/>
      <c r="M216" s="419"/>
    </row>
    <row r="217" spans="1:13" ht="20.25">
      <c r="A217" s="1353"/>
      <c r="B217" s="642" t="s">
        <v>352</v>
      </c>
      <c r="C217" s="641" t="s">
        <v>2240</v>
      </c>
      <c r="D217" s="642" t="s">
        <v>1603</v>
      </c>
      <c r="E217" s="642" t="s">
        <v>1611</v>
      </c>
      <c r="F217" s="643">
        <v>99528</v>
      </c>
      <c r="G217" s="643">
        <v>92936</v>
      </c>
      <c r="H217" s="644">
        <f>(G217-F217)*100/F217</f>
        <v>-6.623261795675589</v>
      </c>
      <c r="I217" s="56"/>
      <c r="J217" s="419"/>
      <c r="K217" s="419"/>
      <c r="L217" s="419"/>
      <c r="M217" s="419"/>
    </row>
    <row r="218" spans="1:13" ht="36">
      <c r="A218" s="1349" t="s">
        <v>735</v>
      </c>
      <c r="B218" s="642"/>
      <c r="C218" s="745" t="s">
        <v>1604</v>
      </c>
      <c r="D218" s="754"/>
      <c r="E218" s="489"/>
      <c r="F218" s="755"/>
      <c r="G218" s="755"/>
      <c r="H218" s="644"/>
      <c r="I218" s="56"/>
      <c r="J218" s="56"/>
      <c r="K218" s="56"/>
      <c r="L218" s="56"/>
      <c r="M218" s="56"/>
    </row>
    <row r="219" spans="1:13" ht="18">
      <c r="A219" s="1350"/>
      <c r="B219" s="642" t="s">
        <v>71</v>
      </c>
      <c r="C219" s="641" t="s">
        <v>567</v>
      </c>
      <c r="D219" s="642" t="s">
        <v>1605</v>
      </c>
      <c r="E219" s="642" t="s">
        <v>1611</v>
      </c>
      <c r="F219" s="643">
        <v>239699</v>
      </c>
      <c r="G219" s="643">
        <v>223352</v>
      </c>
      <c r="H219" s="644">
        <f>(G219-F219)*100/F219</f>
        <v>-6.819803169808802</v>
      </c>
      <c r="I219" s="56"/>
      <c r="J219" s="56"/>
      <c r="K219" s="56"/>
      <c r="L219" s="56"/>
      <c r="M219" s="56"/>
    </row>
    <row r="220" spans="1:13" ht="18">
      <c r="A220" s="1350"/>
      <c r="B220" s="642" t="s">
        <v>1578</v>
      </c>
      <c r="C220" s="641" t="s">
        <v>569</v>
      </c>
      <c r="D220" s="642" t="s">
        <v>1606</v>
      </c>
      <c r="E220" s="642" t="s">
        <v>1611</v>
      </c>
      <c r="F220" s="643">
        <v>289428</v>
      </c>
      <c r="G220" s="643">
        <v>277122</v>
      </c>
      <c r="H220" s="644">
        <f>(G220-F220)*100/F220</f>
        <v>-4.251834653177992</v>
      </c>
      <c r="I220" s="56"/>
      <c r="J220" s="56"/>
      <c r="K220" s="56"/>
      <c r="L220" s="56"/>
      <c r="M220" s="56"/>
    </row>
    <row r="221" spans="1:13" ht="18">
      <c r="A221" s="1353"/>
      <c r="B221" s="642" t="s">
        <v>352</v>
      </c>
      <c r="C221" s="641" t="s">
        <v>1860</v>
      </c>
      <c r="D221" s="642" t="s">
        <v>1607</v>
      </c>
      <c r="E221" s="642" t="s">
        <v>1611</v>
      </c>
      <c r="F221" s="643">
        <v>460931</v>
      </c>
      <c r="G221" s="643">
        <v>427457</v>
      </c>
      <c r="H221" s="644">
        <f>(G221-F221)*100/F221</f>
        <v>-7.262258342354929</v>
      </c>
      <c r="I221" s="56"/>
      <c r="J221" s="56"/>
      <c r="K221" s="56"/>
      <c r="L221" s="56"/>
      <c r="M221" s="56"/>
    </row>
    <row r="222" spans="1:13" ht="9.75" customHeight="1">
      <c r="A222" s="756"/>
      <c r="B222" s="701"/>
      <c r="C222" s="702"/>
      <c r="D222" s="703"/>
      <c r="E222" s="702"/>
      <c r="F222" s="704"/>
      <c r="G222" s="704"/>
      <c r="H222" s="644"/>
      <c r="I222" s="418"/>
      <c r="J222" s="418"/>
      <c r="K222" s="418"/>
      <c r="L222" s="418"/>
      <c r="M222" s="418"/>
    </row>
    <row r="223" spans="1:13" ht="18">
      <c r="A223" s="1354" t="s">
        <v>1608</v>
      </c>
      <c r="B223" s="1355"/>
      <c r="C223" s="1355"/>
      <c r="D223" s="638"/>
      <c r="E223" s="695"/>
      <c r="F223" s="691"/>
      <c r="G223" s="691"/>
      <c r="H223" s="644"/>
      <c r="I223" s="56"/>
      <c r="J223" s="56"/>
      <c r="K223" s="56"/>
      <c r="L223" s="56"/>
      <c r="M223" s="56"/>
    </row>
    <row r="224" spans="1:13" ht="54">
      <c r="A224" s="1349" t="s">
        <v>731</v>
      </c>
      <c r="B224" s="641"/>
      <c r="C224" s="745" t="s">
        <v>1546</v>
      </c>
      <c r="D224" s="757"/>
      <c r="E224" s="695"/>
      <c r="F224" s="691"/>
      <c r="G224" s="691"/>
      <c r="H224" s="644"/>
      <c r="I224" s="56"/>
      <c r="J224" s="56"/>
      <c r="K224" s="56"/>
      <c r="L224" s="56"/>
      <c r="M224" s="56"/>
    </row>
    <row r="225" spans="1:13" ht="9.75" customHeight="1">
      <c r="A225" s="1350"/>
      <c r="B225" s="655"/>
      <c r="C225" s="656"/>
      <c r="D225" s="657"/>
      <c r="E225" s="656"/>
      <c r="F225" s="658"/>
      <c r="G225" s="658"/>
      <c r="H225" s="644"/>
      <c r="I225" s="56"/>
      <c r="J225" s="56"/>
      <c r="K225" s="56"/>
      <c r="L225" s="56"/>
      <c r="M225" s="56"/>
    </row>
    <row r="226" spans="1:13" ht="18">
      <c r="A226" s="1350"/>
      <c r="B226" s="642" t="s">
        <v>71</v>
      </c>
      <c r="C226" s="641" t="s">
        <v>1547</v>
      </c>
      <c r="D226" s="642" t="s">
        <v>1548</v>
      </c>
      <c r="E226" s="642" t="s">
        <v>1837</v>
      </c>
      <c r="F226" s="643">
        <v>293526</v>
      </c>
      <c r="G226" s="643">
        <v>265563</v>
      </c>
      <c r="H226" s="644">
        <f>(G226-F226)*100/F226</f>
        <v>-9.526583675722083</v>
      </c>
      <c r="I226" s="56"/>
      <c r="J226" s="56"/>
      <c r="K226" s="56"/>
      <c r="L226" s="56"/>
      <c r="M226" s="56"/>
    </row>
    <row r="227" spans="1:13" ht="18">
      <c r="A227" s="1350"/>
      <c r="B227" s="642" t="s">
        <v>1578</v>
      </c>
      <c r="C227" s="641" t="s">
        <v>1549</v>
      </c>
      <c r="D227" s="642" t="s">
        <v>1550</v>
      </c>
      <c r="E227" s="642" t="s">
        <v>1837</v>
      </c>
      <c r="F227" s="643">
        <v>270463</v>
      </c>
      <c r="G227" s="643">
        <v>245947</v>
      </c>
      <c r="H227" s="644">
        <f>(G227-F227)*100/F227</f>
        <v>-9.064456136329184</v>
      </c>
      <c r="I227" s="56"/>
      <c r="J227" s="56"/>
      <c r="K227" s="56"/>
      <c r="L227" s="56"/>
      <c r="M227" s="56"/>
    </row>
    <row r="228" spans="1:13" ht="18">
      <c r="A228" s="1350"/>
      <c r="B228" s="642" t="s">
        <v>352</v>
      </c>
      <c r="C228" s="641" t="s">
        <v>1551</v>
      </c>
      <c r="D228" s="642" t="s">
        <v>1552</v>
      </c>
      <c r="E228" s="642" t="s">
        <v>1837</v>
      </c>
      <c r="F228" s="643">
        <v>233964</v>
      </c>
      <c r="G228" s="643">
        <v>213106</v>
      </c>
      <c r="H228" s="644">
        <f>(G228-F228)*100/F228</f>
        <v>-8.915046759330496</v>
      </c>
      <c r="I228" s="56"/>
      <c r="J228" s="56"/>
      <c r="K228" s="56"/>
      <c r="L228" s="56"/>
      <c r="M228" s="56"/>
    </row>
    <row r="229" spans="1:13" ht="18">
      <c r="A229" s="1350"/>
      <c r="B229" s="642" t="s">
        <v>354</v>
      </c>
      <c r="C229" s="641" t="s">
        <v>1637</v>
      </c>
      <c r="D229" s="642" t="s">
        <v>1638</v>
      </c>
      <c r="E229" s="642" t="s">
        <v>1837</v>
      </c>
      <c r="F229" s="643">
        <v>225792</v>
      </c>
      <c r="G229" s="643">
        <v>206605</v>
      </c>
      <c r="H229" s="644">
        <f>(G229-F229)*100/F229</f>
        <v>-8.49764384920635</v>
      </c>
      <c r="I229" s="56"/>
      <c r="J229" s="56"/>
      <c r="K229" s="56"/>
      <c r="L229" s="56"/>
      <c r="M229" s="56"/>
    </row>
    <row r="230" spans="1:13" ht="18">
      <c r="A230" s="1353"/>
      <c r="B230" s="674" t="s">
        <v>356</v>
      </c>
      <c r="C230" s="673" t="s">
        <v>1627</v>
      </c>
      <c r="D230" s="674" t="s">
        <v>1628</v>
      </c>
      <c r="E230" s="674" t="s">
        <v>1837</v>
      </c>
      <c r="F230" s="675">
        <v>201276</v>
      </c>
      <c r="G230" s="675">
        <v>187100</v>
      </c>
      <c r="H230" s="644">
        <f>(G230-F230)*100/F230</f>
        <v>-7.043065243744907</v>
      </c>
      <c r="I230" s="56"/>
      <c r="J230" s="56"/>
      <c r="K230" s="56"/>
      <c r="L230" s="56"/>
      <c r="M230" s="56"/>
    </row>
    <row r="231" spans="1:13" ht="9.75" customHeight="1">
      <c r="A231" s="758"/>
      <c r="B231" s="718"/>
      <c r="C231" s="719"/>
      <c r="D231" s="759"/>
      <c r="E231" s="719"/>
      <c r="F231" s="760"/>
      <c r="G231" s="760"/>
      <c r="H231" s="644"/>
      <c r="I231" s="418"/>
      <c r="J231" s="418"/>
      <c r="K231" s="418"/>
      <c r="L231" s="418"/>
      <c r="M231" s="418"/>
    </row>
    <row r="232" spans="1:13" ht="54">
      <c r="A232" s="1349" t="s">
        <v>1841</v>
      </c>
      <c r="B232" s="641"/>
      <c r="C232" s="745" t="s">
        <v>1629</v>
      </c>
      <c r="D232" s="757"/>
      <c r="E232" s="695"/>
      <c r="F232" s="691"/>
      <c r="G232" s="691"/>
      <c r="H232" s="644"/>
      <c r="I232" s="56"/>
      <c r="J232" s="56"/>
      <c r="K232" s="56"/>
      <c r="L232" s="56"/>
      <c r="M232" s="56"/>
    </row>
    <row r="233" spans="1:13" ht="18">
      <c r="A233" s="1350"/>
      <c r="B233" s="655"/>
      <c r="C233" s="656"/>
      <c r="D233" s="657"/>
      <c r="E233" s="656"/>
      <c r="F233" s="658"/>
      <c r="G233" s="658"/>
      <c r="H233" s="644"/>
      <c r="I233" s="56"/>
      <c r="J233" s="56"/>
      <c r="K233" s="56"/>
      <c r="L233" s="56"/>
      <c r="M233" s="56"/>
    </row>
    <row r="234" spans="1:13" ht="18">
      <c r="A234" s="1350"/>
      <c r="B234" s="642" t="s">
        <v>71</v>
      </c>
      <c r="C234" s="641" t="s">
        <v>1630</v>
      </c>
      <c r="D234" s="642" t="s">
        <v>1631</v>
      </c>
      <c r="E234" s="642" t="s">
        <v>1837</v>
      </c>
      <c r="F234" s="643">
        <v>250364</v>
      </c>
      <c r="G234" s="643">
        <v>228470</v>
      </c>
      <c r="H234" s="644">
        <f>(G234-F234)*100/F234</f>
        <v>-8.74486747295937</v>
      </c>
      <c r="I234" s="56"/>
      <c r="J234" s="56"/>
      <c r="K234" s="56"/>
      <c r="L234" s="56"/>
      <c r="M234" s="56"/>
    </row>
    <row r="235" spans="1:13" ht="18">
      <c r="A235" s="1350"/>
      <c r="B235" s="642" t="s">
        <v>1578</v>
      </c>
      <c r="C235" s="641" t="s">
        <v>1632</v>
      </c>
      <c r="D235" s="642" t="s">
        <v>1633</v>
      </c>
      <c r="E235" s="642" t="s">
        <v>1837</v>
      </c>
      <c r="F235" s="643">
        <v>205693</v>
      </c>
      <c r="G235" s="643">
        <v>189127</v>
      </c>
      <c r="H235" s="644">
        <f>(G235-F235)*100/F235</f>
        <v>-8.053750006077017</v>
      </c>
      <c r="I235" s="56"/>
      <c r="J235" s="56"/>
      <c r="K235" s="56"/>
      <c r="L235" s="56"/>
      <c r="M235" s="56"/>
    </row>
    <row r="236" spans="1:13" ht="18">
      <c r="A236" s="1353"/>
      <c r="B236" s="674" t="s">
        <v>352</v>
      </c>
      <c r="C236" s="673" t="s">
        <v>1634</v>
      </c>
      <c r="D236" s="674" t="s">
        <v>1635</v>
      </c>
      <c r="E236" s="674" t="s">
        <v>1837</v>
      </c>
      <c r="F236" s="675">
        <v>181176</v>
      </c>
      <c r="G236" s="675">
        <v>169622</v>
      </c>
      <c r="H236" s="644">
        <f>(G236-F236)*100/F236</f>
        <v>-6.3772243564268996</v>
      </c>
      <c r="I236" s="56"/>
      <c r="J236" s="56"/>
      <c r="K236" s="56"/>
      <c r="L236" s="56"/>
      <c r="M236" s="56"/>
    </row>
    <row r="237" spans="1:13" ht="9.75" customHeight="1">
      <c r="A237" s="700"/>
      <c r="B237" s="718"/>
      <c r="C237" s="719"/>
      <c r="D237" s="720"/>
      <c r="E237" s="719"/>
      <c r="F237" s="721"/>
      <c r="G237" s="721"/>
      <c r="H237" s="644"/>
      <c r="I237" s="418"/>
      <c r="J237" s="418"/>
      <c r="K237" s="418"/>
      <c r="L237" s="418"/>
      <c r="M237" s="418"/>
    </row>
    <row r="238" spans="1:13" ht="54">
      <c r="A238" s="1356" t="s">
        <v>1846</v>
      </c>
      <c r="B238" s="641"/>
      <c r="C238" s="745" t="s">
        <v>1636</v>
      </c>
      <c r="D238" s="757"/>
      <c r="E238" s="695"/>
      <c r="F238" s="691"/>
      <c r="G238" s="691"/>
      <c r="H238" s="644"/>
      <c r="I238" s="56"/>
      <c r="J238" s="56"/>
      <c r="K238" s="56"/>
      <c r="L238" s="56"/>
      <c r="M238" s="56"/>
    </row>
    <row r="239" spans="1:13" ht="18">
      <c r="A239" s="1357"/>
      <c r="B239" s="655"/>
      <c r="C239" s="656"/>
      <c r="D239" s="657"/>
      <c r="E239" s="656"/>
      <c r="F239" s="658"/>
      <c r="G239" s="658"/>
      <c r="H239" s="644"/>
      <c r="I239" s="56"/>
      <c r="J239" s="56"/>
      <c r="K239" s="56"/>
      <c r="L239" s="56"/>
      <c r="M239" s="56"/>
    </row>
    <row r="240" spans="1:13" ht="18">
      <c r="A240" s="1357"/>
      <c r="B240" s="642" t="s">
        <v>71</v>
      </c>
      <c r="C240" s="641" t="s">
        <v>1811</v>
      </c>
      <c r="D240" s="642" t="s">
        <v>1812</v>
      </c>
      <c r="E240" s="642" t="s">
        <v>1837</v>
      </c>
      <c r="F240" s="643">
        <v>191684</v>
      </c>
      <c r="G240" s="643">
        <v>177557</v>
      </c>
      <c r="H240" s="644">
        <f>(G240-F240)*100/F240</f>
        <v>-7.369942196531792</v>
      </c>
      <c r="I240" s="56"/>
      <c r="J240" s="56"/>
      <c r="K240" s="56"/>
      <c r="L240" s="56"/>
      <c r="M240" s="56"/>
    </row>
    <row r="241" spans="1:13" ht="18">
      <c r="A241" s="1357"/>
      <c r="B241" s="642" t="s">
        <v>1578</v>
      </c>
      <c r="C241" s="641" t="s">
        <v>1813</v>
      </c>
      <c r="D241" s="642" t="s">
        <v>1814</v>
      </c>
      <c r="E241" s="642" t="s">
        <v>1837</v>
      </c>
      <c r="F241" s="643">
        <v>176794</v>
      </c>
      <c r="G241" s="643">
        <v>164442</v>
      </c>
      <c r="H241" s="644">
        <f>(G241-F241)*100/F241</f>
        <v>-6.986662443295587</v>
      </c>
      <c r="I241" s="56"/>
      <c r="J241" s="56"/>
      <c r="K241" s="56"/>
      <c r="L241" s="56"/>
      <c r="M241" s="56"/>
    </row>
    <row r="242" spans="1:13" ht="18">
      <c r="A242" s="1358"/>
      <c r="B242" s="674" t="s">
        <v>352</v>
      </c>
      <c r="C242" s="673" t="s">
        <v>1815</v>
      </c>
      <c r="D242" s="674" t="s">
        <v>1816</v>
      </c>
      <c r="E242" s="674" t="s">
        <v>1837</v>
      </c>
      <c r="F242" s="675">
        <v>160450</v>
      </c>
      <c r="G242" s="675">
        <v>151439</v>
      </c>
      <c r="H242" s="644">
        <f>(G242-F242)*100/F242</f>
        <v>-5.616079775631038</v>
      </c>
      <c r="I242" s="56"/>
      <c r="J242" s="56"/>
      <c r="K242" s="56"/>
      <c r="L242" s="56"/>
      <c r="M242" s="56"/>
    </row>
    <row r="243" spans="1:13" ht="9.75" customHeight="1">
      <c r="A243" s="700"/>
      <c r="B243" s="718"/>
      <c r="C243" s="719"/>
      <c r="D243" s="720"/>
      <c r="E243" s="719"/>
      <c r="F243" s="721"/>
      <c r="G243" s="721"/>
      <c r="H243" s="644"/>
      <c r="I243" s="418"/>
      <c r="J243" s="418"/>
      <c r="K243" s="418"/>
      <c r="L243" s="418"/>
      <c r="M243" s="418"/>
    </row>
    <row r="244" spans="1:13" ht="54">
      <c r="A244" s="625" t="s">
        <v>1852</v>
      </c>
      <c r="B244" s="713"/>
      <c r="C244" s="713" t="s">
        <v>983</v>
      </c>
      <c r="D244" s="714" t="s">
        <v>797</v>
      </c>
      <c r="E244" s="714" t="s">
        <v>1837</v>
      </c>
      <c r="F244" s="715">
        <v>438855</v>
      </c>
      <c r="G244" s="715">
        <v>362955</v>
      </c>
      <c r="H244" s="644">
        <f>(G244-F244)*100/F244</f>
        <v>-17.295006323273064</v>
      </c>
      <c r="I244" s="56"/>
      <c r="J244" s="56"/>
      <c r="K244" s="56"/>
      <c r="L244" s="56"/>
      <c r="M244" s="56"/>
    </row>
    <row r="245" spans="1:13" ht="9.75" customHeight="1">
      <c r="A245" s="642"/>
      <c r="B245" s="652"/>
      <c r="C245" s="665"/>
      <c r="D245" s="692"/>
      <c r="E245" s="665"/>
      <c r="F245" s="653"/>
      <c r="G245" s="653"/>
      <c r="H245" s="644"/>
      <c r="I245" s="56"/>
      <c r="J245" s="56"/>
      <c r="K245" s="56"/>
      <c r="L245" s="56"/>
      <c r="M245" s="56"/>
    </row>
    <row r="246" spans="1:13" ht="54">
      <c r="A246" s="625" t="s">
        <v>584</v>
      </c>
      <c r="B246" s="713"/>
      <c r="C246" s="713" t="s">
        <v>798</v>
      </c>
      <c r="D246" s="714" t="s">
        <v>799</v>
      </c>
      <c r="E246" s="714" t="s">
        <v>1837</v>
      </c>
      <c r="F246" s="715">
        <v>469194</v>
      </c>
      <c r="G246" s="715">
        <v>395690</v>
      </c>
      <c r="H246" s="644">
        <f>(G246-F246)*100/F246</f>
        <v>-15.666014484413697</v>
      </c>
      <c r="I246" s="56"/>
      <c r="J246" s="56"/>
      <c r="K246" s="56"/>
      <c r="L246" s="56"/>
      <c r="M246" s="56"/>
    </row>
    <row r="247" spans="1:13" ht="9.75" customHeight="1">
      <c r="A247" s="642"/>
      <c r="B247" s="652"/>
      <c r="C247" s="665"/>
      <c r="D247" s="692"/>
      <c r="E247" s="665"/>
      <c r="F247" s="653"/>
      <c r="G247" s="653"/>
      <c r="H247" s="644"/>
      <c r="I247" s="56"/>
      <c r="J247" s="56"/>
      <c r="K247" s="56"/>
      <c r="L247" s="56"/>
      <c r="M247" s="56"/>
    </row>
    <row r="248" spans="1:13" ht="54">
      <c r="A248" s="1349" t="s">
        <v>735</v>
      </c>
      <c r="B248" s="641"/>
      <c r="C248" s="745" t="s">
        <v>800</v>
      </c>
      <c r="D248" s="757"/>
      <c r="E248" s="695"/>
      <c r="F248" s="691"/>
      <c r="G248" s="691"/>
      <c r="H248" s="644"/>
      <c r="I248" s="56"/>
      <c r="J248" s="56"/>
      <c r="K248" s="56"/>
      <c r="L248" s="56"/>
      <c r="M248" s="56"/>
    </row>
    <row r="249" spans="1:13" ht="9.75" customHeight="1">
      <c r="A249" s="1350"/>
      <c r="B249" s="652"/>
      <c r="C249" s="665"/>
      <c r="D249" s="692"/>
      <c r="E249" s="665"/>
      <c r="F249" s="653"/>
      <c r="G249" s="653"/>
      <c r="H249" s="644"/>
      <c r="I249" s="56"/>
      <c r="J249" s="56"/>
      <c r="K249" s="56"/>
      <c r="L249" s="56"/>
      <c r="M249" s="56"/>
    </row>
    <row r="250" spans="1:13" ht="18">
      <c r="A250" s="1350"/>
      <c r="B250" s="686" t="s">
        <v>71</v>
      </c>
      <c r="C250" s="706" t="s">
        <v>1811</v>
      </c>
      <c r="D250" s="686" t="s">
        <v>801</v>
      </c>
      <c r="E250" s="686" t="s">
        <v>1837</v>
      </c>
      <c r="F250" s="707">
        <v>323308</v>
      </c>
      <c r="G250" s="707">
        <v>261626</v>
      </c>
      <c r="H250" s="644">
        <f>(G250-F250)*100/F250</f>
        <v>-19.07840201912727</v>
      </c>
      <c r="I250" s="56"/>
      <c r="J250" s="56"/>
      <c r="K250" s="56"/>
      <c r="L250" s="56"/>
      <c r="M250" s="56"/>
    </row>
    <row r="251" spans="1:13" ht="18">
      <c r="A251" s="1350"/>
      <c r="B251" s="642" t="s">
        <v>1578</v>
      </c>
      <c r="C251" s="641" t="s">
        <v>1813</v>
      </c>
      <c r="D251" s="642" t="s">
        <v>879</v>
      </c>
      <c r="E251" s="642" t="s">
        <v>1837</v>
      </c>
      <c r="F251" s="643">
        <v>308418</v>
      </c>
      <c r="G251" s="643">
        <v>248512</v>
      </c>
      <c r="H251" s="644">
        <f>(G251-F251)*100/F251</f>
        <v>-19.423639346601043</v>
      </c>
      <c r="I251" s="56"/>
      <c r="J251" s="56"/>
      <c r="K251" s="56"/>
      <c r="L251" s="56"/>
      <c r="M251" s="56"/>
    </row>
    <row r="252" spans="1:13" ht="18">
      <c r="A252" s="1353"/>
      <c r="B252" s="674" t="s">
        <v>352</v>
      </c>
      <c r="C252" s="673" t="s">
        <v>1815</v>
      </c>
      <c r="D252" s="674" t="s">
        <v>880</v>
      </c>
      <c r="E252" s="674" t="s">
        <v>1837</v>
      </c>
      <c r="F252" s="675">
        <v>292073</v>
      </c>
      <c r="G252" s="675">
        <v>235509</v>
      </c>
      <c r="H252" s="644">
        <f>(G252-F252)*100/F252</f>
        <v>-19.366391278892607</v>
      </c>
      <c r="I252" s="56"/>
      <c r="J252" s="56"/>
      <c r="K252" s="56"/>
      <c r="L252" s="56"/>
      <c r="M252" s="56"/>
    </row>
    <row r="253" spans="1:13" ht="9.75" customHeight="1">
      <c r="A253" s="642"/>
      <c r="B253" s="652"/>
      <c r="C253" s="665"/>
      <c r="D253" s="692"/>
      <c r="E253" s="665"/>
      <c r="F253" s="653"/>
      <c r="G253" s="653"/>
      <c r="H253" s="644"/>
      <c r="I253" s="56"/>
      <c r="J253" s="56"/>
      <c r="K253" s="56"/>
      <c r="L253" s="56"/>
      <c r="M253" s="56"/>
    </row>
    <row r="254" spans="1:13" ht="36">
      <c r="A254" s="1352" t="s">
        <v>738</v>
      </c>
      <c r="B254" s="642"/>
      <c r="C254" s="745" t="s">
        <v>2201</v>
      </c>
      <c r="D254" s="664"/>
      <c r="E254" s="665"/>
      <c r="F254" s="653"/>
      <c r="G254" s="653"/>
      <c r="H254" s="644"/>
      <c r="I254" s="56"/>
      <c r="J254" s="56"/>
      <c r="K254" s="56"/>
      <c r="L254" s="56"/>
      <c r="M254" s="56"/>
    </row>
    <row r="255" spans="1:13" ht="36">
      <c r="A255" s="1352"/>
      <c r="B255" s="686" t="s">
        <v>71</v>
      </c>
      <c r="C255" s="706" t="s">
        <v>2202</v>
      </c>
      <c r="D255" s="686" t="s">
        <v>2203</v>
      </c>
      <c r="E255" s="686" t="s">
        <v>1837</v>
      </c>
      <c r="F255" s="707">
        <v>394195</v>
      </c>
      <c r="G255" s="707">
        <v>339492</v>
      </c>
      <c r="H255" s="644">
        <f>(G255-F255)*100/F255</f>
        <v>-13.877142023617752</v>
      </c>
      <c r="I255" s="56"/>
      <c r="J255" s="56"/>
      <c r="K255" s="56"/>
      <c r="L255" s="56"/>
      <c r="M255" s="56"/>
    </row>
    <row r="256" spans="1:13" ht="36">
      <c r="A256" s="1352"/>
      <c r="B256" s="642" t="s">
        <v>1578</v>
      </c>
      <c r="C256" s="641" t="s">
        <v>1239</v>
      </c>
      <c r="D256" s="714" t="s">
        <v>2204</v>
      </c>
      <c r="E256" s="674" t="s">
        <v>1837</v>
      </c>
      <c r="F256" s="675">
        <v>329894</v>
      </c>
      <c r="G256" s="675">
        <v>273723</v>
      </c>
      <c r="H256" s="644">
        <f>(G256-F256)*100/F256</f>
        <v>-17.02698442530025</v>
      </c>
      <c r="I256" s="56"/>
      <c r="J256" s="56"/>
      <c r="K256" s="56"/>
      <c r="L256" s="56"/>
      <c r="M256" s="56"/>
    </row>
    <row r="257" spans="1:13" ht="54">
      <c r="A257" s="1352"/>
      <c r="B257" s="642"/>
      <c r="C257" s="745" t="s">
        <v>2205</v>
      </c>
      <c r="D257" s="664"/>
      <c r="E257" s="665"/>
      <c r="F257" s="653"/>
      <c r="G257" s="653"/>
      <c r="H257" s="644"/>
      <c r="I257" s="56"/>
      <c r="J257" s="56"/>
      <c r="K257" s="56"/>
      <c r="L257" s="56"/>
      <c r="M257" s="56"/>
    </row>
    <row r="258" spans="1:13" ht="36">
      <c r="A258" s="1352"/>
      <c r="B258" s="642" t="s">
        <v>71</v>
      </c>
      <c r="C258" s="641" t="s">
        <v>2202</v>
      </c>
      <c r="D258" s="686" t="s">
        <v>2206</v>
      </c>
      <c r="E258" s="686" t="s">
        <v>1837</v>
      </c>
      <c r="F258" s="707">
        <v>579416</v>
      </c>
      <c r="G258" s="707">
        <v>461479</v>
      </c>
      <c r="H258" s="644">
        <f>(G258-F258)*100/F258</f>
        <v>-20.354460353183207</v>
      </c>
      <c r="I258" s="56"/>
      <c r="J258" s="56"/>
      <c r="K258" s="56"/>
      <c r="L258" s="56"/>
      <c r="M258" s="56"/>
    </row>
    <row r="259" spans="1:13" ht="36">
      <c r="A259" s="1352"/>
      <c r="B259" s="642" t="s">
        <v>1578</v>
      </c>
      <c r="C259" s="641" t="s">
        <v>1239</v>
      </c>
      <c r="D259" s="714" t="s">
        <v>2207</v>
      </c>
      <c r="E259" s="674" t="s">
        <v>1837</v>
      </c>
      <c r="F259" s="675">
        <v>515115</v>
      </c>
      <c r="G259" s="675">
        <v>395711</v>
      </c>
      <c r="H259" s="644">
        <f>(G259-F259)*100/F259</f>
        <v>-23.18006658707279</v>
      </c>
      <c r="I259" s="56"/>
      <c r="J259" s="56"/>
      <c r="K259" s="56"/>
      <c r="L259" s="56"/>
      <c r="M259" s="56"/>
    </row>
    <row r="260" spans="1:13" ht="54">
      <c r="A260" s="1352"/>
      <c r="B260" s="642"/>
      <c r="C260" s="745" t="s">
        <v>2215</v>
      </c>
      <c r="D260" s="664"/>
      <c r="E260" s="665"/>
      <c r="F260" s="653"/>
      <c r="G260" s="653"/>
      <c r="H260" s="644"/>
      <c r="I260" s="56"/>
      <c r="J260" s="56"/>
      <c r="K260" s="56"/>
      <c r="L260" s="56"/>
      <c r="M260" s="56"/>
    </row>
    <row r="261" spans="1:13" ht="36">
      <c r="A261" s="1352"/>
      <c r="B261" s="642" t="s">
        <v>71</v>
      </c>
      <c r="C261" s="641" t="s">
        <v>2202</v>
      </c>
      <c r="D261" s="686" t="s">
        <v>2208</v>
      </c>
      <c r="E261" s="686" t="s">
        <v>1837</v>
      </c>
      <c r="F261" s="707">
        <v>748601</v>
      </c>
      <c r="G261" s="707">
        <v>589306</v>
      </c>
      <c r="H261" s="644">
        <f>(G261-F261)*100/F261</f>
        <v>-21.27902580947661</v>
      </c>
      <c r="I261" s="56"/>
      <c r="J261" s="56"/>
      <c r="K261" s="56"/>
      <c r="L261" s="56"/>
      <c r="M261" s="56"/>
    </row>
    <row r="262" spans="1:13" ht="36">
      <c r="A262" s="1352"/>
      <c r="B262" s="642" t="s">
        <v>1578</v>
      </c>
      <c r="C262" s="641" t="s">
        <v>1239</v>
      </c>
      <c r="D262" s="686" t="s">
        <v>2209</v>
      </c>
      <c r="E262" s="642" t="s">
        <v>1837</v>
      </c>
      <c r="F262" s="643">
        <v>684300</v>
      </c>
      <c r="G262" s="643">
        <v>523537</v>
      </c>
      <c r="H262" s="644">
        <f>(G262-F262)*100/F262</f>
        <v>-23.493058600029226</v>
      </c>
      <c r="I262" s="56"/>
      <c r="J262" s="56"/>
      <c r="K262" s="56"/>
      <c r="L262" s="56"/>
      <c r="M262" s="56"/>
    </row>
    <row r="263" spans="1:13" ht="9.75" customHeight="1">
      <c r="A263" s="642"/>
      <c r="B263" s="646"/>
      <c r="C263" s="647"/>
      <c r="D263" s="648"/>
      <c r="E263" s="647"/>
      <c r="F263" s="649"/>
      <c r="G263" s="649"/>
      <c r="H263" s="644"/>
      <c r="I263" s="56"/>
      <c r="J263" s="56"/>
      <c r="K263" s="56"/>
      <c r="L263" s="56"/>
      <c r="M263" s="56"/>
    </row>
    <row r="264" spans="1:13" ht="36">
      <c r="A264" s="1349" t="s">
        <v>2210</v>
      </c>
      <c r="B264" s="642"/>
      <c r="C264" s="745" t="s">
        <v>2201</v>
      </c>
      <c r="D264" s="664"/>
      <c r="E264" s="665"/>
      <c r="F264" s="653"/>
      <c r="G264" s="653"/>
      <c r="H264" s="644"/>
      <c r="I264" s="56"/>
      <c r="J264" s="56"/>
      <c r="K264" s="56"/>
      <c r="L264" s="56"/>
      <c r="M264" s="56"/>
    </row>
    <row r="265" spans="1:13" ht="36">
      <c r="A265" s="1350"/>
      <c r="B265" s="642" t="s">
        <v>71</v>
      </c>
      <c r="C265" s="641" t="s">
        <v>2212</v>
      </c>
      <c r="D265" s="686" t="s">
        <v>2211</v>
      </c>
      <c r="E265" s="642" t="s">
        <v>1837</v>
      </c>
      <c r="F265" s="707">
        <v>510080</v>
      </c>
      <c r="G265" s="707">
        <v>433821</v>
      </c>
      <c r="H265" s="644">
        <f>(G265-F265)*100/F265</f>
        <v>-14.950399937264743</v>
      </c>
      <c r="I265" s="56"/>
      <c r="J265" s="56"/>
      <c r="K265" s="56"/>
      <c r="L265" s="56"/>
      <c r="M265" s="56"/>
    </row>
    <row r="266" spans="1:13" ht="54">
      <c r="A266" s="1350"/>
      <c r="B266" s="642"/>
      <c r="C266" s="745" t="s">
        <v>2205</v>
      </c>
      <c r="D266" s="752"/>
      <c r="E266" s="489"/>
      <c r="F266" s="662"/>
      <c r="G266" s="662"/>
      <c r="H266" s="644"/>
      <c r="I266" s="56"/>
      <c r="J266" s="56"/>
      <c r="K266" s="56"/>
      <c r="L266" s="56"/>
      <c r="M266" s="56"/>
    </row>
    <row r="267" spans="1:13" ht="36">
      <c r="A267" s="1350"/>
      <c r="B267" s="642" t="s">
        <v>1578</v>
      </c>
      <c r="C267" s="641" t="s">
        <v>2212</v>
      </c>
      <c r="D267" s="642" t="s">
        <v>2213</v>
      </c>
      <c r="E267" s="642" t="s">
        <v>1837</v>
      </c>
      <c r="F267" s="643">
        <v>695301</v>
      </c>
      <c r="G267" s="643">
        <v>556663</v>
      </c>
      <c r="H267" s="644">
        <f>(G267-F267)*100/F267</f>
        <v>-19.939278096824253</v>
      </c>
      <c r="I267" s="56"/>
      <c r="J267" s="56"/>
      <c r="K267" s="56"/>
      <c r="L267" s="56"/>
      <c r="M267" s="56"/>
    </row>
    <row r="268" spans="1:13" ht="54">
      <c r="A268" s="1350"/>
      <c r="B268" s="642"/>
      <c r="C268" s="745" t="s">
        <v>2215</v>
      </c>
      <c r="D268" s="752"/>
      <c r="E268" s="489"/>
      <c r="F268" s="662"/>
      <c r="G268" s="662"/>
      <c r="H268" s="644"/>
      <c r="I268" s="56"/>
      <c r="J268" s="56"/>
      <c r="K268" s="56"/>
      <c r="L268" s="56"/>
      <c r="M268" s="56"/>
    </row>
    <row r="269" spans="1:13" ht="36">
      <c r="A269" s="1353"/>
      <c r="B269" s="642" t="s">
        <v>352</v>
      </c>
      <c r="C269" s="641" t="s">
        <v>2212</v>
      </c>
      <c r="D269" s="642" t="s">
        <v>2214</v>
      </c>
      <c r="E269" s="642" t="s">
        <v>1837</v>
      </c>
      <c r="F269" s="643">
        <v>864486</v>
      </c>
      <c r="G269" s="643">
        <v>684490</v>
      </c>
      <c r="H269" s="644">
        <f>(G269-F269)*100/F269</f>
        <v>-20.82115846873171</v>
      </c>
      <c r="I269" s="56"/>
      <c r="J269" s="56"/>
      <c r="K269" s="56"/>
      <c r="L269" s="56"/>
      <c r="M269" s="56"/>
    </row>
    <row r="270" spans="1:13" ht="9.75" customHeight="1">
      <c r="A270" s="642"/>
      <c r="B270" s="731"/>
      <c r="C270" s="641"/>
      <c r="D270" s="686"/>
      <c r="E270" s="642"/>
      <c r="F270" s="643"/>
      <c r="G270" s="643"/>
      <c r="H270" s="644"/>
      <c r="I270" s="56"/>
      <c r="J270" s="56"/>
      <c r="K270" s="56"/>
      <c r="L270" s="56"/>
      <c r="M270" s="56"/>
    </row>
    <row r="271" spans="1:13" ht="72">
      <c r="A271" s="625" t="s">
        <v>465</v>
      </c>
      <c r="B271" s="642"/>
      <c r="C271" s="745" t="s">
        <v>2216</v>
      </c>
      <c r="D271" s="686" t="s">
        <v>2217</v>
      </c>
      <c r="E271" s="642" t="s">
        <v>1837</v>
      </c>
      <c r="F271" s="675">
        <v>293047</v>
      </c>
      <c r="G271" s="675">
        <v>245263</v>
      </c>
      <c r="H271" s="735">
        <f>(G271-F271)*100/F271</f>
        <v>-16.305916798329278</v>
      </c>
      <c r="I271" s="56"/>
      <c r="J271" s="56"/>
      <c r="K271" s="56"/>
      <c r="L271" s="56"/>
      <c r="M271" s="56"/>
    </row>
    <row r="272" spans="1:13" ht="54">
      <c r="A272" s="650" t="s">
        <v>2092</v>
      </c>
      <c r="B272" s="731"/>
      <c r="C272" s="745" t="s">
        <v>719</v>
      </c>
      <c r="D272" s="686" t="s">
        <v>720</v>
      </c>
      <c r="E272" s="642" t="s">
        <v>1837</v>
      </c>
      <c r="F272" s="643">
        <v>283964</v>
      </c>
      <c r="G272" s="643">
        <v>280146</v>
      </c>
      <c r="H272" s="644">
        <f>(G272-F272)*100/F272</f>
        <v>-1.3445366314039808</v>
      </c>
      <c r="I272" s="56"/>
      <c r="J272" s="56"/>
      <c r="L272" s="188"/>
      <c r="M272" s="56"/>
    </row>
    <row r="273" spans="1:13" ht="90">
      <c r="A273" s="1349" t="s">
        <v>1491</v>
      </c>
      <c r="B273" s="640"/>
      <c r="C273" s="745" t="s">
        <v>721</v>
      </c>
      <c r="D273" s="761"/>
      <c r="E273" s="668"/>
      <c r="F273" s="670"/>
      <c r="G273" s="670"/>
      <c r="H273" s="684"/>
      <c r="I273" s="56"/>
      <c r="J273" s="56"/>
      <c r="K273" s="374"/>
      <c r="L273" s="56"/>
      <c r="M273" s="56"/>
    </row>
    <row r="274" spans="1:13" ht="36">
      <c r="A274" s="1350"/>
      <c r="B274" s="659" t="s">
        <v>71</v>
      </c>
      <c r="C274" s="762" t="s">
        <v>722</v>
      </c>
      <c r="D274" s="659" t="s">
        <v>723</v>
      </c>
      <c r="E274" s="659" t="s">
        <v>1837</v>
      </c>
      <c r="F274" s="763">
        <v>278305</v>
      </c>
      <c r="G274" s="763">
        <v>273057</v>
      </c>
      <c r="H274" s="764">
        <f>(G274-F274)*100/F274</f>
        <v>-1.8857009396166078</v>
      </c>
      <c r="I274" s="56"/>
      <c r="J274" s="56"/>
      <c r="K274" s="374"/>
      <c r="L274" s="56"/>
      <c r="M274" s="56"/>
    </row>
    <row r="275" spans="1:13" ht="36">
      <c r="A275" s="625" t="s">
        <v>1521</v>
      </c>
      <c r="B275" s="674"/>
      <c r="C275" s="673" t="s">
        <v>724</v>
      </c>
      <c r="D275" s="674" t="s">
        <v>725</v>
      </c>
      <c r="E275" s="674" t="s">
        <v>737</v>
      </c>
      <c r="F275" s="675">
        <v>11930</v>
      </c>
      <c r="G275" s="675">
        <v>9780</v>
      </c>
      <c r="H275" s="644">
        <f>(G275-F275)*100/F275</f>
        <v>-18.021793797150043</v>
      </c>
      <c r="I275" s="56"/>
      <c r="J275" s="56"/>
      <c r="K275" s="56"/>
      <c r="L275" s="56"/>
      <c r="M275" s="56"/>
    </row>
    <row r="276" spans="1:13" ht="9.75" customHeight="1">
      <c r="A276" s="642"/>
      <c r="B276" s="652"/>
      <c r="C276" s="665"/>
      <c r="D276" s="692"/>
      <c r="E276" s="665"/>
      <c r="F276" s="653"/>
      <c r="G276" s="653"/>
      <c r="H276" s="644"/>
      <c r="I276" s="56"/>
      <c r="J276" s="56"/>
      <c r="K276" s="56"/>
      <c r="L276" s="56"/>
      <c r="M276" s="56"/>
    </row>
    <row r="277" spans="1:13" ht="36">
      <c r="A277" s="625" t="s">
        <v>1213</v>
      </c>
      <c r="B277" s="642"/>
      <c r="C277" s="641" t="s">
        <v>726</v>
      </c>
      <c r="D277" s="642" t="s">
        <v>727</v>
      </c>
      <c r="E277" s="642" t="s">
        <v>728</v>
      </c>
      <c r="F277" s="643">
        <v>2668928</v>
      </c>
      <c r="G277" s="643">
        <v>1917922</v>
      </c>
      <c r="H277" s="644">
        <f>(G277-F277)*100/F277</f>
        <v>-28.138863243969116</v>
      </c>
      <c r="I277" s="56"/>
      <c r="J277" s="56"/>
      <c r="K277" s="56"/>
      <c r="L277" s="56"/>
      <c r="M277" s="56"/>
    </row>
    <row r="278" spans="1:13" ht="36">
      <c r="A278" s="625" t="s">
        <v>1215</v>
      </c>
      <c r="B278" s="642"/>
      <c r="C278" s="641" t="s">
        <v>1059</v>
      </c>
      <c r="D278" s="642" t="s">
        <v>1060</v>
      </c>
      <c r="E278" s="642" t="s">
        <v>1061</v>
      </c>
      <c r="F278" s="643">
        <v>1220433</v>
      </c>
      <c r="G278" s="643">
        <v>960861</v>
      </c>
      <c r="H278" s="644">
        <f>(G278-F278)*100/F278</f>
        <v>-21.26884474608602</v>
      </c>
      <c r="I278" s="56"/>
      <c r="J278" s="56"/>
      <c r="K278" s="56"/>
      <c r="L278" s="56"/>
      <c r="M278" s="56"/>
    </row>
    <row r="279" spans="1:13" ht="36">
      <c r="A279" s="625" t="s">
        <v>1005</v>
      </c>
      <c r="B279" s="642"/>
      <c r="C279" s="641" t="s">
        <v>1062</v>
      </c>
      <c r="D279" s="642" t="s">
        <v>1063</v>
      </c>
      <c r="E279" s="642" t="s">
        <v>1064</v>
      </c>
      <c r="F279" s="643">
        <v>910638</v>
      </c>
      <c r="G279" s="643">
        <v>692611</v>
      </c>
      <c r="H279" s="644">
        <f>(G279-F279)*100/F279</f>
        <v>-23.94222512128859</v>
      </c>
      <c r="I279" s="56"/>
      <c r="J279" s="56"/>
      <c r="K279" s="56"/>
      <c r="L279" s="56"/>
      <c r="M279" s="56"/>
    </row>
    <row r="280" spans="1:13" ht="18">
      <c r="A280" s="625" t="s">
        <v>1184</v>
      </c>
      <c r="B280" s="642"/>
      <c r="C280" s="641" t="s">
        <v>1065</v>
      </c>
      <c r="D280" s="674" t="s">
        <v>1066</v>
      </c>
      <c r="E280" s="674" t="s">
        <v>1837</v>
      </c>
      <c r="F280" s="675">
        <v>80078</v>
      </c>
      <c r="G280" s="675">
        <v>78149</v>
      </c>
      <c r="H280" s="644">
        <f>(G280-F280)*100/F280</f>
        <v>-2.4089013212118187</v>
      </c>
      <c r="I280" s="56"/>
      <c r="J280" s="56"/>
      <c r="K280" s="56"/>
      <c r="L280" s="56"/>
      <c r="M280" s="56"/>
    </row>
    <row r="281" spans="1:13" ht="36">
      <c r="A281" s="1349" t="s">
        <v>1192</v>
      </c>
      <c r="B281" s="642"/>
      <c r="C281" s="745" t="s">
        <v>179</v>
      </c>
      <c r="D281" s="765"/>
      <c r="E281" s="665"/>
      <c r="F281" s="766"/>
      <c r="G281" s="766"/>
      <c r="H281" s="644"/>
      <c r="I281" s="56"/>
      <c r="J281" s="56"/>
      <c r="K281" s="56"/>
      <c r="L281" s="56"/>
      <c r="M281" s="56"/>
    </row>
    <row r="282" spans="1:13" ht="36">
      <c r="A282" s="1350"/>
      <c r="B282" s="659" t="s">
        <v>71</v>
      </c>
      <c r="C282" s="660" t="s">
        <v>180</v>
      </c>
      <c r="D282" s="767" t="s">
        <v>181</v>
      </c>
      <c r="E282" s="767"/>
      <c r="F282" s="768">
        <v>75485</v>
      </c>
      <c r="G282" s="768">
        <v>66251</v>
      </c>
      <c r="H282" s="764">
        <f aca="true" t="shared" si="1" ref="H282:H287">(G282-F282)*100/F282</f>
        <v>-12.232893952440882</v>
      </c>
      <c r="I282" s="56"/>
      <c r="J282" s="56"/>
      <c r="K282" s="56"/>
      <c r="L282" s="56"/>
      <c r="M282" s="56"/>
    </row>
    <row r="283" spans="1:13" ht="36">
      <c r="A283" s="1350"/>
      <c r="B283" s="659" t="s">
        <v>1578</v>
      </c>
      <c r="C283" s="660" t="s">
        <v>182</v>
      </c>
      <c r="D283" s="659" t="s">
        <v>183</v>
      </c>
      <c r="E283" s="659"/>
      <c r="F283" s="763">
        <v>122106</v>
      </c>
      <c r="G283" s="763">
        <v>106799</v>
      </c>
      <c r="H283" s="764">
        <f t="shared" si="1"/>
        <v>-12.535829525166658</v>
      </c>
      <c r="I283" s="56"/>
      <c r="J283" s="56"/>
      <c r="K283" s="56"/>
      <c r="L283" s="56"/>
      <c r="M283" s="56"/>
    </row>
    <row r="284" spans="1:13" ht="36">
      <c r="A284" s="1350"/>
      <c r="B284" s="659" t="s">
        <v>352</v>
      </c>
      <c r="C284" s="660" t="s">
        <v>184</v>
      </c>
      <c r="D284" s="659" t="s">
        <v>185</v>
      </c>
      <c r="E284" s="659"/>
      <c r="F284" s="763">
        <v>78662</v>
      </c>
      <c r="G284" s="763">
        <v>68889</v>
      </c>
      <c r="H284" s="764">
        <f t="shared" si="1"/>
        <v>-12.42404210419262</v>
      </c>
      <c r="I284" s="56"/>
      <c r="J284" s="56"/>
      <c r="K284" s="56"/>
      <c r="L284" s="56"/>
      <c r="M284" s="56"/>
    </row>
    <row r="285" spans="1:13" ht="36">
      <c r="A285" s="1353"/>
      <c r="B285" s="659" t="s">
        <v>354</v>
      </c>
      <c r="C285" s="660" t="s">
        <v>186</v>
      </c>
      <c r="D285" s="659" t="s">
        <v>187</v>
      </c>
      <c r="E285" s="659"/>
      <c r="F285" s="763">
        <v>125193</v>
      </c>
      <c r="G285" s="763">
        <v>109350</v>
      </c>
      <c r="H285" s="764">
        <f t="shared" si="1"/>
        <v>-12.654860894778462</v>
      </c>
      <c r="I285" s="56"/>
      <c r="J285" s="56"/>
      <c r="K285" s="56"/>
      <c r="L285" s="56"/>
      <c r="M285" s="56"/>
    </row>
    <row r="286" spans="1:13" ht="36">
      <c r="A286" s="625" t="s">
        <v>1195</v>
      </c>
      <c r="B286" s="642"/>
      <c r="C286" s="745" t="s">
        <v>188</v>
      </c>
      <c r="D286" s="642" t="s">
        <v>189</v>
      </c>
      <c r="E286" s="674" t="s">
        <v>1837</v>
      </c>
      <c r="F286" s="643">
        <v>207713</v>
      </c>
      <c r="G286" s="643">
        <v>194760</v>
      </c>
      <c r="H286" s="644">
        <f t="shared" si="1"/>
        <v>-6.236008338428505</v>
      </c>
      <c r="I286" s="56"/>
      <c r="J286" s="56"/>
      <c r="K286" s="56"/>
      <c r="L286" s="56"/>
      <c r="M286" s="56"/>
    </row>
    <row r="287" spans="1:13" ht="36">
      <c r="A287" s="650" t="s">
        <v>190</v>
      </c>
      <c r="B287" s="674"/>
      <c r="C287" s="769" t="s">
        <v>1512</v>
      </c>
      <c r="D287" s="674" t="s">
        <v>1513</v>
      </c>
      <c r="E287" s="674" t="s">
        <v>1837</v>
      </c>
      <c r="F287" s="675">
        <v>239014</v>
      </c>
      <c r="G287" s="675">
        <v>220985</v>
      </c>
      <c r="H287" s="644">
        <f t="shared" si="1"/>
        <v>-7.543072790715188</v>
      </c>
      <c r="I287" s="56"/>
      <c r="J287" s="56"/>
      <c r="K287" s="56"/>
      <c r="L287" s="56"/>
      <c r="M287" s="56"/>
    </row>
    <row r="288" spans="1:13" ht="36">
      <c r="A288" s="1352" t="s">
        <v>1514</v>
      </c>
      <c r="B288" s="642"/>
      <c r="C288" s="769" t="s">
        <v>1672</v>
      </c>
      <c r="D288" s="747"/>
      <c r="E288" s="690"/>
      <c r="F288" s="691"/>
      <c r="G288" s="691"/>
      <c r="H288" s="644"/>
      <c r="I288" s="56"/>
      <c r="J288" s="56"/>
      <c r="K288" s="56"/>
      <c r="L288" s="56"/>
      <c r="M288" s="56"/>
    </row>
    <row r="289" spans="1:13" ht="36">
      <c r="A289" s="1352"/>
      <c r="B289" s="642" t="s">
        <v>71</v>
      </c>
      <c r="C289" s="769" t="s">
        <v>1673</v>
      </c>
      <c r="D289" s="714" t="s">
        <v>1674</v>
      </c>
      <c r="E289" s="714" t="s">
        <v>737</v>
      </c>
      <c r="F289" s="715">
        <v>1350</v>
      </c>
      <c r="G289" s="715">
        <v>1350</v>
      </c>
      <c r="H289" s="644">
        <f>(G289-F289)*100/F289</f>
        <v>0</v>
      </c>
      <c r="I289" s="56"/>
      <c r="J289" s="56"/>
      <c r="K289" s="56"/>
      <c r="L289" s="56"/>
      <c r="M289" s="56"/>
    </row>
    <row r="290" spans="1:13" ht="36">
      <c r="A290" s="1352"/>
      <c r="B290" s="642" t="s">
        <v>1578</v>
      </c>
      <c r="C290" s="769" t="s">
        <v>1675</v>
      </c>
      <c r="D290" s="674" t="s">
        <v>1676</v>
      </c>
      <c r="E290" s="674" t="s">
        <v>737</v>
      </c>
      <c r="F290" s="675">
        <v>1577</v>
      </c>
      <c r="G290" s="675">
        <v>1577</v>
      </c>
      <c r="H290" s="735">
        <f>(G290-F290)*100/F290</f>
        <v>0</v>
      </c>
      <c r="I290" s="56"/>
      <c r="J290" s="56"/>
      <c r="K290" s="56"/>
      <c r="L290" s="56"/>
      <c r="M290" s="56"/>
    </row>
    <row r="291" spans="1:13" ht="54">
      <c r="A291" s="625" t="s">
        <v>1677</v>
      </c>
      <c r="B291" s="642"/>
      <c r="C291" s="745" t="s">
        <v>1678</v>
      </c>
      <c r="D291" s="642" t="s">
        <v>1679</v>
      </c>
      <c r="E291" s="642" t="s">
        <v>1837</v>
      </c>
      <c r="F291" s="643">
        <v>257348</v>
      </c>
      <c r="G291" s="643">
        <v>253584</v>
      </c>
      <c r="H291" s="735">
        <f>(G291-F291)*100/F291</f>
        <v>-1.4626109392728912</v>
      </c>
      <c r="I291" s="56"/>
      <c r="J291" s="56"/>
      <c r="K291" s="375"/>
      <c r="L291" s="490"/>
      <c r="M291" s="56"/>
    </row>
    <row r="292" spans="1:13" ht="9.75" customHeight="1">
      <c r="A292" s="770"/>
      <c r="B292" s="771"/>
      <c r="C292" s="772"/>
      <c r="D292" s="771"/>
      <c r="E292" s="771"/>
      <c r="F292" s="676"/>
      <c r="G292" s="676"/>
      <c r="H292" s="644"/>
      <c r="I292" s="56"/>
      <c r="J292" s="56"/>
      <c r="K292" s="56"/>
      <c r="L292" s="56"/>
      <c r="M292" s="56"/>
    </row>
    <row r="293" spans="1:13" ht="18">
      <c r="A293" s="1354" t="s">
        <v>1680</v>
      </c>
      <c r="B293" s="1355"/>
      <c r="C293" s="1355"/>
      <c r="D293" s="638"/>
      <c r="E293" s="695"/>
      <c r="F293" s="691"/>
      <c r="G293" s="691"/>
      <c r="H293" s="644"/>
      <c r="I293" s="56"/>
      <c r="J293" s="56"/>
      <c r="K293" s="56"/>
      <c r="L293" s="56"/>
      <c r="M293" s="56"/>
    </row>
    <row r="294" spans="1:13" ht="9.75" customHeight="1">
      <c r="A294" s="642"/>
      <c r="B294" s="652"/>
      <c r="C294" s="665"/>
      <c r="D294" s="692"/>
      <c r="E294" s="665"/>
      <c r="F294" s="653"/>
      <c r="G294" s="653"/>
      <c r="H294" s="644"/>
      <c r="I294" s="56"/>
      <c r="J294" s="56"/>
      <c r="K294" s="56"/>
      <c r="L294" s="56"/>
      <c r="M294" s="56"/>
    </row>
    <row r="295" spans="1:13" ht="18">
      <c r="A295" s="1349" t="s">
        <v>731</v>
      </c>
      <c r="B295" s="641"/>
      <c r="C295" s="745" t="s">
        <v>1681</v>
      </c>
      <c r="D295" s="664"/>
      <c r="E295" s="665"/>
      <c r="F295" s="653"/>
      <c r="G295" s="653"/>
      <c r="H295" s="644"/>
      <c r="I295" s="56"/>
      <c r="J295" s="56"/>
      <c r="K295" s="56"/>
      <c r="L295" s="56"/>
      <c r="M295" s="56"/>
    </row>
    <row r="296" spans="1:13" ht="18">
      <c r="A296" s="1350"/>
      <c r="B296" s="642" t="s">
        <v>71</v>
      </c>
      <c r="C296" s="641" t="s">
        <v>565</v>
      </c>
      <c r="D296" s="642" t="s">
        <v>1682</v>
      </c>
      <c r="E296" s="642" t="s">
        <v>1611</v>
      </c>
      <c r="F296" s="643">
        <v>9927</v>
      </c>
      <c r="G296" s="643">
        <v>8957</v>
      </c>
      <c r="H296" s="644">
        <f>(G296-F296)*100/F296</f>
        <v>-9.77133071421376</v>
      </c>
      <c r="I296" s="56"/>
      <c r="J296" s="56"/>
      <c r="K296" s="56"/>
      <c r="L296" s="491"/>
      <c r="M296" s="56"/>
    </row>
    <row r="297" spans="1:13" ht="18">
      <c r="A297" s="1350"/>
      <c r="B297" s="642" t="s">
        <v>1578</v>
      </c>
      <c r="C297" s="641" t="s">
        <v>567</v>
      </c>
      <c r="D297" s="642" t="s">
        <v>1683</v>
      </c>
      <c r="E297" s="642" t="s">
        <v>1611</v>
      </c>
      <c r="F297" s="643">
        <v>9927</v>
      </c>
      <c r="G297" s="643">
        <v>8957</v>
      </c>
      <c r="H297" s="644">
        <f>(G297-F297)*100/F297</f>
        <v>-9.77133071421376</v>
      </c>
      <c r="I297" s="56"/>
      <c r="J297" s="56"/>
      <c r="K297" s="56"/>
      <c r="L297" s="491"/>
      <c r="M297" s="56"/>
    </row>
    <row r="298" spans="1:13" ht="18">
      <c r="A298" s="1350"/>
      <c r="B298" s="642" t="s">
        <v>352</v>
      </c>
      <c r="C298" s="641" t="s">
        <v>569</v>
      </c>
      <c r="D298" s="642" t="s">
        <v>1684</v>
      </c>
      <c r="E298" s="642" t="s">
        <v>1611</v>
      </c>
      <c r="F298" s="643">
        <v>9927</v>
      </c>
      <c r="G298" s="643">
        <v>8957</v>
      </c>
      <c r="H298" s="644">
        <f>(G298-F298)*100/F298</f>
        <v>-9.77133071421376</v>
      </c>
      <c r="I298" s="56"/>
      <c r="J298" s="56"/>
      <c r="K298" s="56"/>
      <c r="L298" s="491"/>
      <c r="M298" s="56"/>
    </row>
    <row r="299" spans="1:13" ht="18">
      <c r="A299" s="1353"/>
      <c r="B299" s="642" t="s">
        <v>354</v>
      </c>
      <c r="C299" s="641" t="s">
        <v>1860</v>
      </c>
      <c r="D299" s="642" t="s">
        <v>1685</v>
      </c>
      <c r="E299" s="642" t="s">
        <v>1611</v>
      </c>
      <c r="F299" s="643">
        <v>9635</v>
      </c>
      <c r="G299" s="643">
        <v>8678</v>
      </c>
      <c r="H299" s="644">
        <f>(G299-F299)*100/F299</f>
        <v>-9.932537623248573</v>
      </c>
      <c r="I299" s="56"/>
      <c r="J299" s="56"/>
      <c r="K299" s="56"/>
      <c r="L299" s="491"/>
      <c r="M299" s="374"/>
    </row>
    <row r="300" spans="1:13" ht="72">
      <c r="A300" s="641"/>
      <c r="B300" s="641"/>
      <c r="C300" s="641" t="s">
        <v>1417</v>
      </c>
      <c r="D300" s="747"/>
      <c r="E300" s="690"/>
      <c r="F300" s="691"/>
      <c r="G300" s="691"/>
      <c r="H300" s="644"/>
      <c r="I300" s="56"/>
      <c r="J300" s="56"/>
      <c r="K300" s="56"/>
      <c r="L300" s="56"/>
      <c r="M300" s="56"/>
    </row>
    <row r="301" spans="1:13" ht="54">
      <c r="A301" s="1349" t="s">
        <v>1841</v>
      </c>
      <c r="B301" s="642" t="s">
        <v>71</v>
      </c>
      <c r="C301" s="641" t="s">
        <v>1876</v>
      </c>
      <c r="D301" s="642" t="s">
        <v>1877</v>
      </c>
      <c r="E301" s="642" t="s">
        <v>1611</v>
      </c>
      <c r="F301" s="643"/>
      <c r="G301" s="643"/>
      <c r="H301" s="644"/>
      <c r="I301" s="56"/>
      <c r="J301" s="56"/>
      <c r="K301" s="56"/>
      <c r="L301" s="56"/>
      <c r="M301" s="56"/>
    </row>
    <row r="302" spans="1:13" ht="18">
      <c r="A302" s="1350"/>
      <c r="B302" s="642" t="s">
        <v>71</v>
      </c>
      <c r="C302" s="641" t="s">
        <v>1878</v>
      </c>
      <c r="D302" s="642" t="s">
        <v>1879</v>
      </c>
      <c r="E302" s="642" t="s">
        <v>1611</v>
      </c>
      <c r="F302" s="643">
        <v>2731</v>
      </c>
      <c r="G302" s="643">
        <v>2629</v>
      </c>
      <c r="H302" s="644">
        <f>(G302-F302)*100/F302</f>
        <v>-3.7348956426217503</v>
      </c>
      <c r="I302" s="56"/>
      <c r="J302" s="56"/>
      <c r="K302" s="375"/>
      <c r="L302" s="56"/>
      <c r="M302" s="56"/>
    </row>
    <row r="303" spans="1:13" ht="18">
      <c r="A303" s="1353"/>
      <c r="B303" s="642" t="s">
        <v>1578</v>
      </c>
      <c r="C303" s="641" t="s">
        <v>1880</v>
      </c>
      <c r="D303" s="642" t="s">
        <v>1881</v>
      </c>
      <c r="E303" s="642" t="s">
        <v>1611</v>
      </c>
      <c r="F303" s="643">
        <v>2436</v>
      </c>
      <c r="G303" s="643">
        <v>2335</v>
      </c>
      <c r="H303" s="644">
        <f>(G303-F303)*100/F303</f>
        <v>-4.1461412151067325</v>
      </c>
      <c r="I303" s="56"/>
      <c r="J303" s="56"/>
      <c r="K303" s="375"/>
      <c r="L303" s="56"/>
      <c r="M303" s="56"/>
    </row>
    <row r="304" spans="1:13" ht="54">
      <c r="A304" s="1349" t="s">
        <v>1846</v>
      </c>
      <c r="B304" s="642" t="s">
        <v>1578</v>
      </c>
      <c r="C304" s="641" t="s">
        <v>1882</v>
      </c>
      <c r="D304" s="642" t="s">
        <v>1883</v>
      </c>
      <c r="E304" s="642" t="s">
        <v>1611</v>
      </c>
      <c r="F304" s="643"/>
      <c r="G304" s="643"/>
      <c r="H304" s="644"/>
      <c r="I304" s="56"/>
      <c r="J304" s="56"/>
      <c r="K304" s="56"/>
      <c r="L304" s="56"/>
      <c r="M304" s="56"/>
    </row>
    <row r="305" spans="1:13" ht="18">
      <c r="A305" s="1350"/>
      <c r="B305" s="642" t="s">
        <v>71</v>
      </c>
      <c r="C305" s="641" t="s">
        <v>1878</v>
      </c>
      <c r="D305" s="642" t="s">
        <v>1884</v>
      </c>
      <c r="E305" s="642" t="s">
        <v>1611</v>
      </c>
      <c r="F305" s="643">
        <v>5315</v>
      </c>
      <c r="G305" s="643">
        <v>4947</v>
      </c>
      <c r="H305" s="644">
        <f>(G305-F305)*100/F305</f>
        <v>-6.923800564440263</v>
      </c>
      <c r="I305" s="56"/>
      <c r="J305" s="56"/>
      <c r="K305" s="375"/>
      <c r="L305" s="56"/>
      <c r="M305" s="56"/>
    </row>
    <row r="306" spans="1:13" ht="18">
      <c r="A306" s="1353"/>
      <c r="B306" s="642" t="s">
        <v>1578</v>
      </c>
      <c r="C306" s="641" t="s">
        <v>1880</v>
      </c>
      <c r="D306" s="642" t="s">
        <v>1885</v>
      </c>
      <c r="E306" s="642" t="s">
        <v>1611</v>
      </c>
      <c r="F306" s="643">
        <v>5086</v>
      </c>
      <c r="G306" s="643">
        <v>4718</v>
      </c>
      <c r="H306" s="644">
        <f>(G306-F306)*100/F306</f>
        <v>-7.235548564687377</v>
      </c>
      <c r="I306" s="56"/>
      <c r="J306" s="56"/>
      <c r="K306" s="375"/>
      <c r="L306" s="56"/>
      <c r="M306" s="56"/>
    </row>
    <row r="307" spans="1:13" ht="54">
      <c r="A307" s="625" t="s">
        <v>1852</v>
      </c>
      <c r="B307" s="642" t="s">
        <v>352</v>
      </c>
      <c r="C307" s="641" t="s">
        <v>1886</v>
      </c>
      <c r="D307" s="642" t="s">
        <v>1887</v>
      </c>
      <c r="E307" s="642" t="s">
        <v>1611</v>
      </c>
      <c r="F307" s="643">
        <v>3084</v>
      </c>
      <c r="G307" s="643">
        <v>2600</v>
      </c>
      <c r="H307" s="644">
        <f>(G307-F307)*100/F307</f>
        <v>-15.693904020752269</v>
      </c>
      <c r="I307" s="56"/>
      <c r="J307" s="56"/>
      <c r="K307" s="56"/>
      <c r="L307" s="56"/>
      <c r="M307" s="56"/>
    </row>
    <row r="308" spans="1:13" ht="54">
      <c r="A308" s="1352" t="s">
        <v>584</v>
      </c>
      <c r="B308" s="642" t="s">
        <v>354</v>
      </c>
      <c r="C308" s="641" t="s">
        <v>1888</v>
      </c>
      <c r="D308" s="642" t="s">
        <v>1889</v>
      </c>
      <c r="E308" s="642" t="s">
        <v>1611</v>
      </c>
      <c r="F308" s="643"/>
      <c r="G308" s="643"/>
      <c r="H308" s="644"/>
      <c r="I308" s="56"/>
      <c r="J308" s="56"/>
      <c r="K308" s="56"/>
      <c r="L308" s="56"/>
      <c r="M308" s="56"/>
    </row>
    <row r="309" spans="1:13" ht="18">
      <c r="A309" s="1352"/>
      <c r="B309" s="642" t="s">
        <v>71</v>
      </c>
      <c r="C309" s="641" t="s">
        <v>1878</v>
      </c>
      <c r="D309" s="642" t="s">
        <v>1890</v>
      </c>
      <c r="E309" s="642" t="s">
        <v>1611</v>
      </c>
      <c r="F309" s="643">
        <v>1668</v>
      </c>
      <c r="G309" s="643">
        <v>1649</v>
      </c>
      <c r="H309" s="644">
        <f>(G309-F309)*100/F309</f>
        <v>-1.1390887290167866</v>
      </c>
      <c r="I309" s="56"/>
      <c r="J309" s="56"/>
      <c r="K309" s="375"/>
      <c r="L309" s="56"/>
      <c r="M309" s="56"/>
    </row>
    <row r="310" spans="1:13" ht="18">
      <c r="A310" s="1349"/>
      <c r="B310" s="674" t="s">
        <v>1578</v>
      </c>
      <c r="C310" s="673" t="s">
        <v>1880</v>
      </c>
      <c r="D310" s="674" t="s">
        <v>1891</v>
      </c>
      <c r="E310" s="674" t="s">
        <v>1611</v>
      </c>
      <c r="F310" s="675">
        <v>1373</v>
      </c>
      <c r="G310" s="675">
        <v>1355</v>
      </c>
      <c r="H310" s="735">
        <f>(G310-F310)*100/F310</f>
        <v>-1.3109978150036417</v>
      </c>
      <c r="I310" s="56"/>
      <c r="J310" s="56"/>
      <c r="K310" s="375"/>
      <c r="L310" s="56"/>
      <c r="M310" s="188"/>
    </row>
    <row r="311" spans="1:13" ht="54">
      <c r="A311" s="1352" t="s">
        <v>735</v>
      </c>
      <c r="B311" s="642" t="s">
        <v>356</v>
      </c>
      <c r="C311" s="641" t="s">
        <v>427</v>
      </c>
      <c r="D311" s="642" t="s">
        <v>428</v>
      </c>
      <c r="E311" s="642" t="s">
        <v>1611</v>
      </c>
      <c r="F311" s="643"/>
      <c r="G311" s="643"/>
      <c r="H311" s="644"/>
      <c r="I311" s="188"/>
      <c r="J311" s="188"/>
      <c r="K311" s="188"/>
      <c r="L311" s="188"/>
      <c r="M311" s="188"/>
    </row>
    <row r="312" spans="1:13" ht="18">
      <c r="A312" s="1352"/>
      <c r="B312" s="642" t="s">
        <v>71</v>
      </c>
      <c r="C312" s="641" t="s">
        <v>1878</v>
      </c>
      <c r="D312" s="642" t="s">
        <v>429</v>
      </c>
      <c r="E312" s="642" t="s">
        <v>1611</v>
      </c>
      <c r="F312" s="643">
        <v>2779</v>
      </c>
      <c r="G312" s="643">
        <v>2767</v>
      </c>
      <c r="H312" s="644">
        <f>(G312-F312)*100/F312</f>
        <v>-0.4318100035984167</v>
      </c>
      <c r="I312" s="188"/>
      <c r="J312" s="188"/>
      <c r="K312" s="480"/>
      <c r="L312" s="188"/>
      <c r="M312" s="188"/>
    </row>
    <row r="313" spans="1:13" ht="18">
      <c r="A313" s="1352"/>
      <c r="B313" s="642" t="s">
        <v>1578</v>
      </c>
      <c r="C313" s="641" t="s">
        <v>1880</v>
      </c>
      <c r="D313" s="642" t="s">
        <v>430</v>
      </c>
      <c r="E313" s="642" t="s">
        <v>1611</v>
      </c>
      <c r="F313" s="643">
        <v>2550</v>
      </c>
      <c r="G313" s="643">
        <v>2538</v>
      </c>
      <c r="H313" s="644">
        <f>(G313-F313)*100/F313</f>
        <v>-0.47058823529411764</v>
      </c>
      <c r="I313" s="188"/>
      <c r="J313" s="188"/>
      <c r="K313" s="480"/>
      <c r="L313" s="188"/>
      <c r="M313" s="188"/>
    </row>
    <row r="314" spans="1:13" ht="15" customHeight="1">
      <c r="A314" s="480"/>
      <c r="B314" s="682"/>
      <c r="C314" s="489"/>
      <c r="D314" s="682"/>
      <c r="E314" s="682"/>
      <c r="F314" s="1363" t="s">
        <v>1297</v>
      </c>
      <c r="G314" s="1363"/>
      <c r="H314" s="773">
        <v>-5.07</v>
      </c>
      <c r="I314" s="166"/>
      <c r="J314" s="166"/>
      <c r="K314" s="480"/>
      <c r="L314" s="188"/>
      <c r="M314" s="188"/>
    </row>
    <row r="315" spans="1:13" ht="15" customHeight="1">
      <c r="A315" s="480"/>
      <c r="B315" s="682"/>
      <c r="C315" s="489"/>
      <c r="D315" s="682"/>
      <c r="E315" s="682"/>
      <c r="F315" s="599"/>
      <c r="G315" s="599"/>
      <c r="H315" s="600"/>
      <c r="I315" s="166"/>
      <c r="J315" s="166"/>
      <c r="K315" s="480"/>
      <c r="L315" s="188"/>
      <c r="M315" s="188"/>
    </row>
    <row r="316" spans="1:13" ht="15" customHeight="1">
      <c r="A316" s="480"/>
      <c r="B316" s="682"/>
      <c r="C316" s="489"/>
      <c r="D316" s="682"/>
      <c r="E316" s="682"/>
      <c r="F316" s="599"/>
      <c r="G316" s="599"/>
      <c r="H316" s="600"/>
      <c r="I316" s="188"/>
      <c r="J316" s="188"/>
      <c r="K316" s="480"/>
      <c r="L316" s="188"/>
      <c r="M316" s="188"/>
    </row>
    <row r="317" spans="1:13" ht="15" customHeight="1">
      <c r="A317" s="480"/>
      <c r="B317" s="682"/>
      <c r="C317" s="489"/>
      <c r="D317" s="682"/>
      <c r="E317" s="682"/>
      <c r="F317" s="599"/>
      <c r="G317" s="599"/>
      <c r="H317" s="600"/>
      <c r="I317" s="188"/>
      <c r="J317" s="188"/>
      <c r="K317" s="480"/>
      <c r="L317" s="188"/>
      <c r="M317" s="188"/>
    </row>
    <row r="318" spans="1:13" ht="15" customHeight="1">
      <c r="A318" s="480"/>
      <c r="B318" s="682"/>
      <c r="C318" s="489"/>
      <c r="D318" s="682"/>
      <c r="E318" s="682"/>
      <c r="F318" s="599"/>
      <c r="G318" s="599"/>
      <c r="H318" s="600"/>
      <c r="I318" s="188"/>
      <c r="J318" s="188"/>
      <c r="K318" s="480"/>
      <c r="L318" s="188"/>
      <c r="M318" s="188"/>
    </row>
    <row r="319" spans="1:13" ht="15" customHeight="1">
      <c r="A319" s="480"/>
      <c r="B319" s="682"/>
      <c r="C319" s="489"/>
      <c r="D319" s="682"/>
      <c r="E319" s="682"/>
      <c r="F319" s="599"/>
      <c r="G319" s="599"/>
      <c r="H319" s="600"/>
      <c r="I319" s="188"/>
      <c r="J319" s="188"/>
      <c r="K319" s="480"/>
      <c r="L319" s="188"/>
      <c r="M319" s="188"/>
    </row>
    <row r="320" spans="1:13" ht="15" customHeight="1">
      <c r="A320" s="480"/>
      <c r="B320" s="682"/>
      <c r="C320" s="489"/>
      <c r="D320" s="682"/>
      <c r="E320" s="682"/>
      <c r="F320" s="599"/>
      <c r="G320" s="599"/>
      <c r="H320" s="600"/>
      <c r="I320" s="188"/>
      <c r="J320" s="188"/>
      <c r="K320" s="480"/>
      <c r="L320" s="188"/>
      <c r="M320" s="188"/>
    </row>
    <row r="321" spans="1:13" ht="15" customHeight="1">
      <c r="A321" s="480"/>
      <c r="B321" s="682"/>
      <c r="C321" s="489"/>
      <c r="D321" s="682"/>
      <c r="E321" s="682"/>
      <c r="F321" s="599"/>
      <c r="G321" s="599"/>
      <c r="H321" s="600"/>
      <c r="I321" s="188"/>
      <c r="J321" s="188"/>
      <c r="K321" s="480"/>
      <c r="L321" s="188"/>
      <c r="M321" s="188"/>
    </row>
    <row r="322" spans="1:13" ht="15" customHeight="1">
      <c r="A322" s="480"/>
      <c r="B322" s="682"/>
      <c r="C322" s="489"/>
      <c r="D322" s="682"/>
      <c r="E322" s="682"/>
      <c r="F322" s="599"/>
      <c r="G322" s="599"/>
      <c r="H322" s="600"/>
      <c r="I322" s="188"/>
      <c r="J322" s="188"/>
      <c r="K322" s="480"/>
      <c r="L322" s="188"/>
      <c r="M322" s="188"/>
    </row>
    <row r="323" spans="1:13" ht="15" customHeight="1">
      <c r="A323" s="480"/>
      <c r="B323" s="682"/>
      <c r="C323" s="489"/>
      <c r="D323" s="682"/>
      <c r="E323" s="682"/>
      <c r="F323" s="599"/>
      <c r="G323" s="599"/>
      <c r="H323" s="600"/>
      <c r="I323" s="188"/>
      <c r="J323" s="188"/>
      <c r="K323" s="480"/>
      <c r="L323" s="188"/>
      <c r="M323" s="188"/>
    </row>
    <row r="324" spans="1:13" ht="15" customHeight="1">
      <c r="A324" s="480"/>
      <c r="B324" s="682"/>
      <c r="C324" s="489"/>
      <c r="D324" s="682"/>
      <c r="E324" s="682"/>
      <c r="F324" s="599"/>
      <c r="G324" s="599"/>
      <c r="H324" s="600"/>
      <c r="I324" s="188"/>
      <c r="J324" s="188"/>
      <c r="K324" s="480"/>
      <c r="L324" s="188"/>
      <c r="M324" s="188"/>
    </row>
    <row r="325" spans="1:13" ht="15" customHeight="1">
      <c r="A325" s="480"/>
      <c r="B325" s="682"/>
      <c r="C325" s="489"/>
      <c r="D325" s="682"/>
      <c r="E325" s="682"/>
      <c r="F325" s="599"/>
      <c r="G325" s="599"/>
      <c r="H325" s="600"/>
      <c r="I325" s="188"/>
      <c r="J325" s="188"/>
      <c r="K325" s="480"/>
      <c r="L325" s="188"/>
      <c r="M325" s="188"/>
    </row>
    <row r="326" spans="1:13" ht="15" customHeight="1">
      <c r="A326" s="480"/>
      <c r="B326" s="682"/>
      <c r="C326" s="489"/>
      <c r="D326" s="682"/>
      <c r="E326" s="682"/>
      <c r="F326" s="599"/>
      <c r="G326" s="599"/>
      <c r="H326" s="600"/>
      <c r="I326" s="188"/>
      <c r="J326" s="188"/>
      <c r="K326" s="480"/>
      <c r="L326" s="188"/>
      <c r="M326" s="188"/>
    </row>
    <row r="327" spans="1:13" ht="15" customHeight="1">
      <c r="A327" s="480"/>
      <c r="B327" s="682"/>
      <c r="C327" s="489"/>
      <c r="D327" s="682"/>
      <c r="E327" s="682"/>
      <c r="F327" s="599"/>
      <c r="G327" s="599"/>
      <c r="H327" s="600"/>
      <c r="I327" s="188"/>
      <c r="J327" s="188"/>
      <c r="K327" s="480"/>
      <c r="L327" s="188"/>
      <c r="M327" s="188"/>
    </row>
    <row r="328" spans="1:13" ht="15" customHeight="1">
      <c r="A328" s="480"/>
      <c r="B328" s="682"/>
      <c r="C328" s="489"/>
      <c r="D328" s="682"/>
      <c r="E328" s="682"/>
      <c r="F328" s="599"/>
      <c r="G328" s="599"/>
      <c r="H328" s="600"/>
      <c r="I328" s="188"/>
      <c r="J328" s="188"/>
      <c r="K328" s="480"/>
      <c r="L328" s="188"/>
      <c r="M328" s="188"/>
    </row>
    <row r="329" spans="1:13" ht="15" customHeight="1">
      <c r="A329" s="480"/>
      <c r="B329" s="682"/>
      <c r="C329" s="489"/>
      <c r="D329" s="682"/>
      <c r="E329" s="682"/>
      <c r="F329" s="599"/>
      <c r="G329" s="599"/>
      <c r="H329" s="600"/>
      <c r="I329" s="188"/>
      <c r="J329" s="188"/>
      <c r="K329" s="480"/>
      <c r="L329" s="188"/>
      <c r="M329" s="188"/>
    </row>
    <row r="330" spans="1:13" ht="15" customHeight="1">
      <c r="A330" s="480"/>
      <c r="B330" s="682"/>
      <c r="C330" s="489"/>
      <c r="D330" s="682"/>
      <c r="E330" s="682"/>
      <c r="F330" s="599"/>
      <c r="G330" s="599"/>
      <c r="H330" s="600"/>
      <c r="I330" s="188"/>
      <c r="J330" s="188"/>
      <c r="K330" s="480"/>
      <c r="L330" s="188"/>
      <c r="M330" s="188"/>
    </row>
    <row r="331" spans="1:13" ht="15" customHeight="1">
      <c r="A331" s="480"/>
      <c r="B331" s="682"/>
      <c r="C331" s="489"/>
      <c r="D331" s="682"/>
      <c r="E331" s="682"/>
      <c r="F331" s="599"/>
      <c r="G331" s="599"/>
      <c r="H331" s="600"/>
      <c r="I331" s="188"/>
      <c r="J331" s="188"/>
      <c r="K331" s="480"/>
      <c r="L331" s="188"/>
      <c r="M331" s="188"/>
    </row>
    <row r="332" spans="1:13" ht="15" customHeight="1">
      <c r="A332" s="480"/>
      <c r="B332" s="682"/>
      <c r="C332" s="489"/>
      <c r="D332" s="682"/>
      <c r="E332" s="682"/>
      <c r="F332" s="599"/>
      <c r="G332" s="599"/>
      <c r="H332" s="600"/>
      <c r="I332" s="188"/>
      <c r="J332" s="188"/>
      <c r="K332" s="480"/>
      <c r="L332" s="188"/>
      <c r="M332" s="188"/>
    </row>
    <row r="333" spans="1:13" ht="15" customHeight="1">
      <c r="A333" s="480"/>
      <c r="B333" s="682"/>
      <c r="C333" s="489"/>
      <c r="D333" s="682"/>
      <c r="E333" s="682"/>
      <c r="F333" s="599"/>
      <c r="G333" s="599"/>
      <c r="H333" s="600"/>
      <c r="I333" s="188"/>
      <c r="J333" s="188"/>
      <c r="K333" s="480"/>
      <c r="L333" s="188"/>
      <c r="M333" s="188"/>
    </row>
    <row r="334" spans="1:13" ht="15" customHeight="1">
      <c r="A334" s="480"/>
      <c r="B334" s="682"/>
      <c r="C334" s="489"/>
      <c r="D334" s="682"/>
      <c r="E334" s="682"/>
      <c r="F334" s="599"/>
      <c r="G334" s="599"/>
      <c r="H334" s="600"/>
      <c r="I334" s="188"/>
      <c r="J334" s="188"/>
      <c r="K334" s="480"/>
      <c r="L334" s="188"/>
      <c r="M334" s="188"/>
    </row>
    <row r="335" spans="1:13" ht="15" customHeight="1">
      <c r="A335" s="480"/>
      <c r="B335" s="682"/>
      <c r="C335" s="489"/>
      <c r="D335" s="682"/>
      <c r="E335" s="682"/>
      <c r="F335" s="599"/>
      <c r="G335" s="599"/>
      <c r="H335" s="600"/>
      <c r="I335" s="188"/>
      <c r="J335" s="188"/>
      <c r="K335" s="480"/>
      <c r="L335" s="188"/>
      <c r="M335" s="188"/>
    </row>
    <row r="336" spans="1:13" ht="15" customHeight="1">
      <c r="A336" s="480"/>
      <c r="B336" s="682"/>
      <c r="C336" s="489"/>
      <c r="D336" s="682"/>
      <c r="E336" s="682"/>
      <c r="F336" s="599"/>
      <c r="G336" s="599"/>
      <c r="H336" s="600"/>
      <c r="I336" s="188"/>
      <c r="J336" s="188"/>
      <c r="K336" s="480"/>
      <c r="L336" s="188"/>
      <c r="M336" s="188"/>
    </row>
    <row r="337" spans="1:13" ht="15" customHeight="1">
      <c r="A337" s="480"/>
      <c r="B337" s="682"/>
      <c r="C337" s="489"/>
      <c r="D337" s="682"/>
      <c r="E337" s="682"/>
      <c r="F337" s="599"/>
      <c r="G337" s="599"/>
      <c r="H337" s="600"/>
      <c r="I337" s="188"/>
      <c r="J337" s="188"/>
      <c r="K337" s="480"/>
      <c r="L337" s="188"/>
      <c r="M337" s="188"/>
    </row>
    <row r="338" spans="1:13" ht="15" customHeight="1">
      <c r="A338" s="480"/>
      <c r="B338" s="682"/>
      <c r="C338" s="489"/>
      <c r="D338" s="682"/>
      <c r="E338" s="682"/>
      <c r="F338" s="599"/>
      <c r="G338" s="599"/>
      <c r="H338" s="600"/>
      <c r="I338" s="188"/>
      <c r="J338" s="188"/>
      <c r="K338" s="480"/>
      <c r="L338" s="188"/>
      <c r="M338" s="188"/>
    </row>
    <row r="339" spans="1:13" ht="15" customHeight="1">
      <c r="A339" s="480"/>
      <c r="B339" s="682"/>
      <c r="C339" s="489"/>
      <c r="D339" s="682"/>
      <c r="E339" s="682"/>
      <c r="F339" s="599"/>
      <c r="G339" s="599"/>
      <c r="H339" s="600"/>
      <c r="I339" s="188"/>
      <c r="J339" s="188"/>
      <c r="K339" s="480"/>
      <c r="L339" s="188"/>
      <c r="M339" s="188"/>
    </row>
    <row r="340" spans="1:13" ht="18.75" customHeight="1">
      <c r="A340" s="480"/>
      <c r="B340" s="682"/>
      <c r="C340" s="489"/>
      <c r="D340" s="682"/>
      <c r="E340" s="164"/>
      <c r="F340" s="775"/>
      <c r="G340" s="775"/>
      <c r="H340" s="776"/>
      <c r="I340" s="188"/>
      <c r="J340" s="188"/>
      <c r="K340" s="480"/>
      <c r="L340" s="188"/>
      <c r="M340" s="188"/>
    </row>
    <row r="341" spans="1:13" ht="14.25" customHeight="1">
      <c r="A341" s="480"/>
      <c r="B341" s="682"/>
      <c r="C341" s="489"/>
      <c r="D341" s="682"/>
      <c r="E341" s="682"/>
      <c r="I341" s="188"/>
      <c r="J341" s="188"/>
      <c r="K341" s="480"/>
      <c r="L341" s="188"/>
      <c r="M341" s="188"/>
    </row>
    <row r="342" spans="1:13" ht="18.75" customHeight="1">
      <c r="A342" s="480"/>
      <c r="B342" s="682"/>
      <c r="C342" s="489"/>
      <c r="D342" s="682"/>
      <c r="E342" s="682"/>
      <c r="F342" s="598"/>
      <c r="G342" s="598"/>
      <c r="I342" s="56"/>
      <c r="J342" s="56"/>
      <c r="K342" s="375"/>
      <c r="L342" s="56"/>
      <c r="M342" s="188"/>
    </row>
    <row r="346" spans="6:8" ht="12.75">
      <c r="F346" s="145"/>
      <c r="G346" s="145"/>
      <c r="H346" s="604"/>
    </row>
    <row r="351" ht="12.75">
      <c r="F351" s="598"/>
    </row>
    <row r="352" spans="4:6" ht="20.25">
      <c r="D352" s="420"/>
      <c r="E352" s="420"/>
      <c r="F352" s="420"/>
    </row>
    <row r="353" spans="4:6" ht="20.25">
      <c r="D353" s="421"/>
      <c r="E353" s="421"/>
      <c r="F353" s="421"/>
    </row>
    <row r="354" spans="4:6" ht="18">
      <c r="D354" s="777"/>
      <c r="E354" s="56"/>
      <c r="F354" s="366"/>
    </row>
    <row r="355" spans="4:6" ht="18">
      <c r="D355" s="777"/>
      <c r="E355" s="56"/>
      <c r="F355" s="366"/>
    </row>
    <row r="358" ht="20.25">
      <c r="D358" s="420"/>
    </row>
    <row r="359" ht="20.25">
      <c r="D359" s="778"/>
    </row>
  </sheetData>
  <sheetProtection/>
  <mergeCells count="68">
    <mergeCell ref="I60:I61"/>
    <mergeCell ref="A59:A61"/>
    <mergeCell ref="B1:G1"/>
    <mergeCell ref="A31:A32"/>
    <mergeCell ref="A34:A35"/>
    <mergeCell ref="A46:A49"/>
    <mergeCell ref="E3:E4"/>
    <mergeCell ref="D3:D4"/>
    <mergeCell ref="A3:A4"/>
    <mergeCell ref="A12:A14"/>
    <mergeCell ref="H3:H4"/>
    <mergeCell ref="F314:G314"/>
    <mergeCell ref="A108:A110"/>
    <mergeCell ref="A124:A126"/>
    <mergeCell ref="B5:C5"/>
    <mergeCell ref="A7:A10"/>
    <mergeCell ref="A28:A29"/>
    <mergeCell ref="A184:A188"/>
    <mergeCell ref="B3:C4"/>
    <mergeCell ref="A128:A130"/>
    <mergeCell ref="A6:C6"/>
    <mergeCell ref="A106:C106"/>
    <mergeCell ref="A16:A19"/>
    <mergeCell ref="A63:C63"/>
    <mergeCell ref="A51:A53"/>
    <mergeCell ref="A55:A57"/>
    <mergeCell ref="A21:A24"/>
    <mergeCell ref="A65:A71"/>
    <mergeCell ref="A73:A76"/>
    <mergeCell ref="A78:A81"/>
    <mergeCell ref="A161:A163"/>
    <mergeCell ref="A134:A137"/>
    <mergeCell ref="A169:C169"/>
    <mergeCell ref="A171:A176"/>
    <mergeCell ref="A91:A94"/>
    <mergeCell ref="A98:C98"/>
    <mergeCell ref="A100:A102"/>
    <mergeCell ref="A113:A119"/>
    <mergeCell ref="A197:A201"/>
    <mergeCell ref="A203:A206"/>
    <mergeCell ref="A208:A211"/>
    <mergeCell ref="A214:A217"/>
    <mergeCell ref="A178:A182"/>
    <mergeCell ref="A139:A141"/>
    <mergeCell ref="A147:A150"/>
    <mergeCell ref="A151:A156"/>
    <mergeCell ref="A158:A159"/>
    <mergeCell ref="A143:A145"/>
    <mergeCell ref="A190:A195"/>
    <mergeCell ref="A308:A310"/>
    <mergeCell ref="A254:A262"/>
    <mergeCell ref="A264:A269"/>
    <mergeCell ref="A232:A236"/>
    <mergeCell ref="A238:A242"/>
    <mergeCell ref="A248:A252"/>
    <mergeCell ref="A218:A221"/>
    <mergeCell ref="A223:C223"/>
    <mergeCell ref="A224:A230"/>
    <mergeCell ref="A37:A43"/>
    <mergeCell ref="I38:I40"/>
    <mergeCell ref="A311:A313"/>
    <mergeCell ref="A273:A274"/>
    <mergeCell ref="A281:A285"/>
    <mergeCell ref="A288:A290"/>
    <mergeCell ref="A293:C293"/>
    <mergeCell ref="A295:A299"/>
    <mergeCell ref="A301:A303"/>
    <mergeCell ref="A304:A306"/>
  </mergeCells>
  <printOptions/>
  <pageMargins left="0.7" right="0.16" top="0.55" bottom="0.26" header="0.3" footer="0.16"/>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tabColor indexed="15"/>
  </sheetPr>
  <dimension ref="A1:J69"/>
  <sheetViews>
    <sheetView zoomScalePageLayoutView="0" workbookViewId="0" topLeftCell="A1">
      <pane xSplit="2" ySplit="9" topLeftCell="C37" activePane="bottomRight" state="frozen"/>
      <selection pane="topLeft" activeCell="A1" sqref="A1"/>
      <selection pane="topRight" activeCell="C1" sqref="C1"/>
      <selection pane="bottomLeft" activeCell="A10" sqref="A10"/>
      <selection pane="bottomRight" activeCell="B1" sqref="B1:D1"/>
    </sheetView>
  </sheetViews>
  <sheetFormatPr defaultColWidth="9.140625" defaultRowHeight="12.75"/>
  <cols>
    <col min="1" max="1" width="4.7109375" style="79" customWidth="1"/>
    <col min="2" max="2" width="49.8515625" style="2" customWidth="1"/>
    <col min="3" max="3" width="14.57421875" style="2" customWidth="1"/>
    <col min="4" max="4" width="6.00390625" style="2" bestFit="1" customWidth="1"/>
    <col min="5" max="5" width="6.421875" style="2" bestFit="1" customWidth="1"/>
    <col min="6" max="6" width="9.57421875" style="2" bestFit="1" customWidth="1"/>
    <col min="7" max="7" width="12.140625" style="2" bestFit="1" customWidth="1"/>
    <col min="8" max="8" width="9.140625" style="2" customWidth="1"/>
    <col min="9" max="9" width="11.28125" style="2" customWidth="1"/>
    <col min="10" max="10" width="15.7109375" style="2" customWidth="1"/>
    <col min="11" max="16384" width="9.140625" style="2" customWidth="1"/>
  </cols>
  <sheetData>
    <row r="1" spans="2:7" ht="18">
      <c r="B1" s="1470" t="s">
        <v>1265</v>
      </c>
      <c r="C1" s="1470"/>
      <c r="D1" s="1470"/>
      <c r="E1" s="78"/>
      <c r="F1" s="78"/>
      <c r="G1" s="78"/>
    </row>
    <row r="2" spans="1:7" ht="13.5" customHeight="1">
      <c r="A2" s="21"/>
      <c r="B2" s="21"/>
      <c r="C2" s="21"/>
      <c r="D2" s="21"/>
      <c r="E2" s="21"/>
      <c r="F2" s="21"/>
      <c r="G2" s="21"/>
    </row>
    <row r="3" spans="2:7" ht="36" customHeight="1">
      <c r="B3" s="1415" t="s">
        <v>899</v>
      </c>
      <c r="C3" s="1415"/>
      <c r="D3" s="1415"/>
      <c r="E3" s="1415"/>
      <c r="F3" s="1415"/>
      <c r="G3" s="1415"/>
    </row>
    <row r="4" spans="2:7" ht="15.75">
      <c r="B4" s="147"/>
      <c r="C4" s="147"/>
      <c r="D4" s="147"/>
      <c r="E4" s="147"/>
      <c r="F4" s="147"/>
      <c r="G4" s="147"/>
    </row>
    <row r="5" spans="1:7" ht="15.75">
      <c r="A5" s="23"/>
      <c r="B5" s="38"/>
      <c r="C5" s="38"/>
      <c r="D5" s="38"/>
      <c r="E5" s="38"/>
      <c r="F5" s="1471" t="s">
        <v>244</v>
      </c>
      <c r="G5" s="1471"/>
    </row>
    <row r="6" spans="1:5" ht="15.75" customHeight="1">
      <c r="A6" s="22"/>
      <c r="B6" s="22"/>
      <c r="C6" s="22"/>
      <c r="D6" s="22"/>
      <c r="E6" s="22"/>
    </row>
    <row r="7" spans="1:7" ht="32.25" customHeight="1">
      <c r="A7" s="1404" t="s">
        <v>2285</v>
      </c>
      <c r="B7" s="1404" t="s">
        <v>594</v>
      </c>
      <c r="C7" s="1404" t="s">
        <v>595</v>
      </c>
      <c r="D7" s="1472" t="s">
        <v>596</v>
      </c>
      <c r="E7" s="1453" t="s">
        <v>1162</v>
      </c>
      <c r="F7" s="1453"/>
      <c r="G7" s="1453"/>
    </row>
    <row r="8" spans="1:7" ht="17.25" customHeight="1">
      <c r="A8" s="1404"/>
      <c r="B8" s="1404"/>
      <c r="C8" s="1404"/>
      <c r="D8" s="1473"/>
      <c r="E8" s="229" t="s">
        <v>86</v>
      </c>
      <c r="F8" s="229" t="s">
        <v>1326</v>
      </c>
      <c r="G8" s="229" t="s">
        <v>2047</v>
      </c>
    </row>
    <row r="9" spans="1:7" ht="17.25" customHeight="1">
      <c r="A9" s="30">
        <v>1</v>
      </c>
      <c r="B9" s="30">
        <v>2</v>
      </c>
      <c r="C9" s="30">
        <v>3</v>
      </c>
      <c r="D9" s="30">
        <v>4</v>
      </c>
      <c r="E9" s="30">
        <v>5</v>
      </c>
      <c r="F9" s="66">
        <v>6</v>
      </c>
      <c r="G9" s="30">
        <v>7</v>
      </c>
    </row>
    <row r="10" spans="1:7" ht="33.75" customHeight="1">
      <c r="A10" s="468">
        <v>1</v>
      </c>
      <c r="B10" s="218" t="s">
        <v>1754</v>
      </c>
      <c r="C10" s="19">
        <v>7130601958</v>
      </c>
      <c r="D10" s="468" t="s">
        <v>1328</v>
      </c>
      <c r="E10" s="469">
        <f>964.6</f>
        <v>964.6</v>
      </c>
      <c r="F10" s="470">
        <f>VLOOKUP(C10,'SOR RATE'!A:D,4,0)/1000</f>
        <v>32.575</v>
      </c>
      <c r="G10" s="470">
        <f>E10*F10</f>
        <v>31421.845000000005</v>
      </c>
    </row>
    <row r="11" spans="1:7" ht="16.5" customHeight="1">
      <c r="A11" s="468">
        <v>2</v>
      </c>
      <c r="B11" s="910" t="s">
        <v>790</v>
      </c>
      <c r="C11" s="469">
        <v>7130810608</v>
      </c>
      <c r="D11" s="468" t="s">
        <v>1331</v>
      </c>
      <c r="E11" s="468">
        <v>1</v>
      </c>
      <c r="F11" s="470">
        <f>VLOOKUP(C11,'SOR RATE'!A:D,4,0)</f>
        <v>4444.09</v>
      </c>
      <c r="G11" s="470">
        <f aca="true" t="shared" si="0" ref="G11:G36">E11*F11</f>
        <v>4444.09</v>
      </c>
    </row>
    <row r="12" spans="1:7" s="64" customFormat="1" ht="32.25" customHeight="1">
      <c r="A12" s="468">
        <v>3</v>
      </c>
      <c r="B12" s="910" t="s">
        <v>1715</v>
      </c>
      <c r="C12" s="469">
        <v>7130870318</v>
      </c>
      <c r="D12" s="468" t="s">
        <v>1331</v>
      </c>
      <c r="E12" s="468">
        <v>6</v>
      </c>
      <c r="F12" s="470">
        <f>VLOOKUP(C12,'SOR RATE'!A:D,4,0)</f>
        <v>949</v>
      </c>
      <c r="G12" s="470">
        <f t="shared" si="0"/>
        <v>5694</v>
      </c>
    </row>
    <row r="13" spans="1:7" ht="30.75" customHeight="1">
      <c r="A13" s="468">
        <v>4</v>
      </c>
      <c r="B13" s="910" t="s">
        <v>1716</v>
      </c>
      <c r="C13" s="469">
        <v>7130820312</v>
      </c>
      <c r="D13" s="468" t="s">
        <v>1331</v>
      </c>
      <c r="E13" s="468">
        <v>3</v>
      </c>
      <c r="F13" s="470">
        <f>VLOOKUP(C13,'SOR RATE'!A:D,4,0)</f>
        <v>2065</v>
      </c>
      <c r="G13" s="470">
        <f t="shared" si="0"/>
        <v>6195</v>
      </c>
    </row>
    <row r="14" spans="1:10" ht="17.25" customHeight="1">
      <c r="A14" s="468">
        <v>5</v>
      </c>
      <c r="B14" s="445" t="s">
        <v>501</v>
      </c>
      <c r="C14" s="19">
        <v>7130820011</v>
      </c>
      <c r="D14" s="468" t="s">
        <v>1331</v>
      </c>
      <c r="E14" s="468">
        <v>27</v>
      </c>
      <c r="F14" s="470">
        <f>VLOOKUP(C14,'SOR RATE'!A:D,4,0)</f>
        <v>307</v>
      </c>
      <c r="G14" s="470">
        <f t="shared" si="0"/>
        <v>8289</v>
      </c>
      <c r="I14" s="159"/>
      <c r="J14" s="159"/>
    </row>
    <row r="15" spans="1:7" ht="18.75" customHeight="1">
      <c r="A15" s="468">
        <v>6</v>
      </c>
      <c r="B15" s="910" t="s">
        <v>1332</v>
      </c>
      <c r="C15" s="469">
        <v>7130870013</v>
      </c>
      <c r="D15" s="468" t="s">
        <v>1331</v>
      </c>
      <c r="E15" s="468">
        <v>2</v>
      </c>
      <c r="F15" s="470">
        <f>VLOOKUP(C15,'SOR RATE'!A:D,4,0)</f>
        <v>97</v>
      </c>
      <c r="G15" s="470">
        <f t="shared" si="0"/>
        <v>194</v>
      </c>
    </row>
    <row r="16" spans="1:7" ht="16.5" customHeight="1">
      <c r="A16" s="1466">
        <v>7</v>
      </c>
      <c r="B16" s="455" t="s">
        <v>1240</v>
      </c>
      <c r="C16" s="471" t="s">
        <v>55</v>
      </c>
      <c r="D16" s="468" t="s">
        <v>1331</v>
      </c>
      <c r="E16" s="468">
        <v>1</v>
      </c>
      <c r="F16" s="470"/>
      <c r="G16" s="470"/>
    </row>
    <row r="17" spans="1:7" ht="16.5" customHeight="1">
      <c r="A17" s="1468"/>
      <c r="B17" s="912" t="s">
        <v>1941</v>
      </c>
      <c r="C17" s="19">
        <v>7130810692</v>
      </c>
      <c r="D17" s="592" t="s">
        <v>83</v>
      </c>
      <c r="E17" s="592">
        <v>4</v>
      </c>
      <c r="F17" s="470">
        <f>VLOOKUP(C17,'SOR RATE'!A:D,4,0)</f>
        <v>249.66</v>
      </c>
      <c r="G17" s="470">
        <f t="shared" si="0"/>
        <v>998.64</v>
      </c>
    </row>
    <row r="18" spans="1:7" ht="15.75" customHeight="1">
      <c r="A18" s="1467"/>
      <c r="B18" s="912" t="s">
        <v>2143</v>
      </c>
      <c r="C18" s="913">
        <v>7130600032</v>
      </c>
      <c r="D18" s="592" t="s">
        <v>1576</v>
      </c>
      <c r="E18" s="592">
        <v>60</v>
      </c>
      <c r="F18" s="470">
        <f>VLOOKUP(C18,'SOR RATE'!A:D,4,0)/1000</f>
        <v>33.236</v>
      </c>
      <c r="G18" s="470">
        <f t="shared" si="0"/>
        <v>1994.1599999999999</v>
      </c>
    </row>
    <row r="19" spans="1:7" ht="17.25" customHeight="1">
      <c r="A19" s="468">
        <v>8</v>
      </c>
      <c r="B19" s="910" t="s">
        <v>839</v>
      </c>
      <c r="C19" s="471">
        <v>7130860033</v>
      </c>
      <c r="D19" s="468" t="s">
        <v>1335</v>
      </c>
      <c r="E19" s="468">
        <v>6</v>
      </c>
      <c r="F19" s="470">
        <f>VLOOKUP(C19,'SOR RATE'!A:D,4,0)</f>
        <v>629</v>
      </c>
      <c r="G19" s="470">
        <f t="shared" si="0"/>
        <v>3774</v>
      </c>
    </row>
    <row r="20" spans="1:7" ht="16.5" customHeight="1">
      <c r="A20" s="468">
        <v>9</v>
      </c>
      <c r="B20" s="218" t="s">
        <v>287</v>
      </c>
      <c r="C20" s="19">
        <v>7130810692</v>
      </c>
      <c r="D20" s="468" t="s">
        <v>1331</v>
      </c>
      <c r="E20" s="468">
        <v>9</v>
      </c>
      <c r="F20" s="470">
        <f>VLOOKUP(C20,'SOR RATE'!A:D,4,0)</f>
        <v>249.66</v>
      </c>
      <c r="G20" s="470">
        <f t="shared" si="0"/>
        <v>2246.94</v>
      </c>
    </row>
    <row r="21" spans="1:7" ht="16.5" customHeight="1">
      <c r="A21" s="468">
        <v>10</v>
      </c>
      <c r="B21" s="910" t="s">
        <v>791</v>
      </c>
      <c r="C21" s="471">
        <v>7130860076</v>
      </c>
      <c r="D21" s="468" t="s">
        <v>1328</v>
      </c>
      <c r="E21" s="468">
        <v>51</v>
      </c>
      <c r="F21" s="470">
        <f>VLOOKUP(C21,'SOR RATE'!A:D,4,0)/1000</f>
        <v>58.65</v>
      </c>
      <c r="G21" s="470">
        <f t="shared" si="0"/>
        <v>2991.15</v>
      </c>
    </row>
    <row r="22" spans="1:7" ht="48" customHeight="1">
      <c r="A22" s="1466">
        <v>11</v>
      </c>
      <c r="B22" s="910" t="s">
        <v>2250</v>
      </c>
      <c r="C22" s="471"/>
      <c r="D22" s="468" t="s">
        <v>1336</v>
      </c>
      <c r="E22" s="468">
        <f>(0.65*2)+(0.3*6)</f>
        <v>3.0999999999999996</v>
      </c>
      <c r="F22" s="470"/>
      <c r="G22" s="470"/>
    </row>
    <row r="23" spans="1:7" ht="18" customHeight="1">
      <c r="A23" s="1467"/>
      <c r="B23" s="914" t="s">
        <v>2113</v>
      </c>
      <c r="C23" s="471">
        <v>7130200401</v>
      </c>
      <c r="D23" s="468" t="s">
        <v>1328</v>
      </c>
      <c r="E23" s="468">
        <f>3.1*208</f>
        <v>644.8000000000001</v>
      </c>
      <c r="F23" s="470">
        <f>VLOOKUP(C23,'SOR RATE'!A:D,4,0)/50</f>
        <v>4.9</v>
      </c>
      <c r="G23" s="470">
        <f>E23*F23</f>
        <v>3159.5200000000004</v>
      </c>
    </row>
    <row r="24" spans="1:7" ht="16.5" customHeight="1">
      <c r="A24" s="468">
        <v>12</v>
      </c>
      <c r="B24" s="910" t="s">
        <v>1572</v>
      </c>
      <c r="C24" s="471">
        <v>7130211158</v>
      </c>
      <c r="D24" s="468" t="s">
        <v>1338</v>
      </c>
      <c r="E24" s="468">
        <v>2</v>
      </c>
      <c r="F24" s="470">
        <f>VLOOKUP(C24,'SOR RATE'!A:D,4,0)</f>
        <v>133</v>
      </c>
      <c r="G24" s="470">
        <f t="shared" si="0"/>
        <v>266</v>
      </c>
    </row>
    <row r="25" spans="1:7" ht="15.75" customHeight="1">
      <c r="A25" s="468">
        <v>13</v>
      </c>
      <c r="B25" s="910" t="s">
        <v>1574</v>
      </c>
      <c r="C25" s="471">
        <v>7130210809</v>
      </c>
      <c r="D25" s="468" t="s">
        <v>1338</v>
      </c>
      <c r="E25" s="468">
        <v>2</v>
      </c>
      <c r="F25" s="470">
        <f>VLOOKUP(C25,'SOR RATE'!A:D,4,0)</f>
        <v>297</v>
      </c>
      <c r="G25" s="470">
        <f t="shared" si="0"/>
        <v>594</v>
      </c>
    </row>
    <row r="26" spans="1:9" ht="18.75" customHeight="1">
      <c r="A26" s="468">
        <v>14</v>
      </c>
      <c r="B26" s="218" t="s">
        <v>1438</v>
      </c>
      <c r="C26" s="19">
        <v>7130610206</v>
      </c>
      <c r="D26" s="468" t="s">
        <v>1576</v>
      </c>
      <c r="E26" s="468">
        <v>4</v>
      </c>
      <c r="F26" s="470">
        <f>VLOOKUP(C26,'SOR RATE'!A:D,4,0)/1000</f>
        <v>63.963</v>
      </c>
      <c r="G26" s="470">
        <f t="shared" si="0"/>
        <v>255.852</v>
      </c>
      <c r="H26" s="1451" t="s">
        <v>2251</v>
      </c>
      <c r="I26" s="1452"/>
    </row>
    <row r="27" spans="1:7" ht="15.75" customHeight="1">
      <c r="A27" s="468">
        <v>15</v>
      </c>
      <c r="B27" s="910" t="s">
        <v>840</v>
      </c>
      <c r="C27" s="471">
        <v>7130880041</v>
      </c>
      <c r="D27" s="468" t="s">
        <v>83</v>
      </c>
      <c r="E27" s="468">
        <v>2</v>
      </c>
      <c r="F27" s="470">
        <f>VLOOKUP(C27,'SOR RATE'!A:D,4,0)</f>
        <v>62</v>
      </c>
      <c r="G27" s="470">
        <f t="shared" si="0"/>
        <v>124</v>
      </c>
    </row>
    <row r="28" spans="1:7" ht="17.25" customHeight="1">
      <c r="A28" s="468">
        <v>16</v>
      </c>
      <c r="B28" s="910" t="s">
        <v>1695</v>
      </c>
      <c r="C28" s="471">
        <v>7130810624</v>
      </c>
      <c r="D28" s="468" t="s">
        <v>1331</v>
      </c>
      <c r="E28" s="468">
        <v>4</v>
      </c>
      <c r="F28" s="470">
        <f>VLOOKUP(C28,'SOR RATE'!A:D,4,0)</f>
        <v>75</v>
      </c>
      <c r="G28" s="470">
        <f t="shared" si="0"/>
        <v>300</v>
      </c>
    </row>
    <row r="29" spans="1:7" ht="15">
      <c r="A29" s="1474">
        <v>17</v>
      </c>
      <c r="B29" s="733" t="s">
        <v>54</v>
      </c>
      <c r="C29" s="471"/>
      <c r="D29" s="468" t="s">
        <v>1328</v>
      </c>
      <c r="E29" s="468">
        <v>15</v>
      </c>
      <c r="F29" s="470"/>
      <c r="G29" s="470"/>
    </row>
    <row r="30" spans="1:7" ht="15">
      <c r="A30" s="1475"/>
      <c r="B30" s="915" t="s">
        <v>56</v>
      </c>
      <c r="C30" s="471">
        <v>7130620609</v>
      </c>
      <c r="D30" s="468" t="s">
        <v>1328</v>
      </c>
      <c r="E30" s="468">
        <v>1</v>
      </c>
      <c r="F30" s="470">
        <f>VLOOKUP(C30,'SOR RATE'!A:D,4,0)</f>
        <v>63</v>
      </c>
      <c r="G30" s="470">
        <f t="shared" si="0"/>
        <v>63</v>
      </c>
    </row>
    <row r="31" spans="1:7" ht="15">
      <c r="A31" s="1475"/>
      <c r="B31" s="915" t="s">
        <v>57</v>
      </c>
      <c r="C31" s="471">
        <v>7130620614</v>
      </c>
      <c r="D31" s="468" t="s">
        <v>1328</v>
      </c>
      <c r="E31" s="468">
        <v>3</v>
      </c>
      <c r="F31" s="470">
        <f>VLOOKUP(C31,'SOR RATE'!A:D,4,0)</f>
        <v>62</v>
      </c>
      <c r="G31" s="470">
        <f t="shared" si="0"/>
        <v>186</v>
      </c>
    </row>
    <row r="32" spans="1:7" ht="15">
      <c r="A32" s="1475"/>
      <c r="B32" s="915" t="s">
        <v>58</v>
      </c>
      <c r="C32" s="471">
        <v>7130620619</v>
      </c>
      <c r="D32" s="468" t="s">
        <v>1328</v>
      </c>
      <c r="E32" s="468">
        <v>1</v>
      </c>
      <c r="F32" s="470">
        <f>VLOOKUP(C32,'SOR RATE'!A:D,4,0)</f>
        <v>62</v>
      </c>
      <c r="G32" s="470">
        <f t="shared" si="0"/>
        <v>62</v>
      </c>
    </row>
    <row r="33" spans="1:7" ht="15">
      <c r="A33" s="1475"/>
      <c r="B33" s="915" t="s">
        <v>59</v>
      </c>
      <c r="C33" s="471">
        <v>7130620625</v>
      </c>
      <c r="D33" s="468" t="s">
        <v>1328</v>
      </c>
      <c r="E33" s="468">
        <v>2</v>
      </c>
      <c r="F33" s="470">
        <f>VLOOKUP(C33,'SOR RATE'!A:D,4,0)</f>
        <v>61</v>
      </c>
      <c r="G33" s="470">
        <f t="shared" si="0"/>
        <v>122</v>
      </c>
    </row>
    <row r="34" spans="1:7" ht="15">
      <c r="A34" s="1475"/>
      <c r="B34" s="915" t="s">
        <v>60</v>
      </c>
      <c r="C34" s="471">
        <v>7130620627</v>
      </c>
      <c r="D34" s="468" t="s">
        <v>1328</v>
      </c>
      <c r="E34" s="468">
        <v>2</v>
      </c>
      <c r="F34" s="470">
        <f>VLOOKUP(C34,'SOR RATE'!A:D,4,0)</f>
        <v>61</v>
      </c>
      <c r="G34" s="470">
        <f t="shared" si="0"/>
        <v>122</v>
      </c>
    </row>
    <row r="35" spans="1:7" ht="15">
      <c r="A35" s="1475"/>
      <c r="B35" s="915" t="s">
        <v>61</v>
      </c>
      <c r="C35" s="471">
        <v>7130620631</v>
      </c>
      <c r="D35" s="468" t="s">
        <v>1328</v>
      </c>
      <c r="E35" s="468">
        <v>2</v>
      </c>
      <c r="F35" s="470">
        <f>VLOOKUP(C35,'SOR RATE'!A:D,4,0)</f>
        <v>61</v>
      </c>
      <c r="G35" s="470">
        <f t="shared" si="0"/>
        <v>122</v>
      </c>
    </row>
    <row r="36" spans="1:7" ht="15">
      <c r="A36" s="1476"/>
      <c r="B36" s="915" t="s">
        <v>62</v>
      </c>
      <c r="C36" s="916">
        <v>7130620637</v>
      </c>
      <c r="D36" s="468" t="s">
        <v>1328</v>
      </c>
      <c r="E36" s="468">
        <v>4</v>
      </c>
      <c r="F36" s="470">
        <f>VLOOKUP(C36,'SOR RATE'!A:D,4,0)</f>
        <v>61</v>
      </c>
      <c r="G36" s="470">
        <f t="shared" si="0"/>
        <v>244</v>
      </c>
    </row>
    <row r="37" spans="1:7" ht="15.75">
      <c r="A37" s="917">
        <v>18</v>
      </c>
      <c r="B37" s="799" t="s">
        <v>1052</v>
      </c>
      <c r="C37" s="471"/>
      <c r="D37" s="468"/>
      <c r="E37" s="468"/>
      <c r="F37" s="470"/>
      <c r="G37" s="918">
        <f>SUM(G10:G36)</f>
        <v>73863.197</v>
      </c>
    </row>
    <row r="38" spans="1:7" ht="18" customHeight="1">
      <c r="A38" s="911">
        <v>19</v>
      </c>
      <c r="B38" s="218" t="s">
        <v>1051</v>
      </c>
      <c r="C38" s="919"/>
      <c r="D38" s="920"/>
      <c r="E38" s="920"/>
      <c r="F38" s="921">
        <v>0.09</v>
      </c>
      <c r="G38" s="921">
        <f>G37*F38</f>
        <v>6647.68773</v>
      </c>
    </row>
    <row r="39" spans="1:7" ht="18.75" customHeight="1">
      <c r="A39" s="468">
        <v>20</v>
      </c>
      <c r="B39" s="910" t="s">
        <v>2198</v>
      </c>
      <c r="C39" s="471"/>
      <c r="D39" s="468" t="s">
        <v>1571</v>
      </c>
      <c r="E39" s="468">
        <v>3.1</v>
      </c>
      <c r="F39" s="4">
        <f>1664*1.27*1.0891*1.086275*1.1112*1.0685*1.06217</f>
        <v>3153.010200829536</v>
      </c>
      <c r="G39" s="470">
        <f>E39*F39</f>
        <v>9774.331622571563</v>
      </c>
    </row>
    <row r="40" spans="1:7" ht="15" customHeight="1">
      <c r="A40" s="468">
        <v>21</v>
      </c>
      <c r="B40" s="733" t="s">
        <v>841</v>
      </c>
      <c r="C40" s="471"/>
      <c r="D40" s="468"/>
      <c r="E40" s="468"/>
      <c r="F40" s="470"/>
      <c r="G40" s="470">
        <v>8185.4</v>
      </c>
    </row>
    <row r="41" spans="1:7" ht="48" customHeight="1">
      <c r="A41" s="468">
        <v>22</v>
      </c>
      <c r="B41" s="910" t="s">
        <v>277</v>
      </c>
      <c r="C41" s="471"/>
      <c r="D41" s="468" t="s">
        <v>55</v>
      </c>
      <c r="E41" s="468"/>
      <c r="F41" s="470"/>
      <c r="G41" s="470">
        <f>1.1*2517.9*1.2*1.1*1.1797*1.1402*0.9368*0.87</f>
        <v>4007.964304284355</v>
      </c>
    </row>
    <row r="42" spans="1:7" ht="15.75">
      <c r="A42" s="30">
        <v>23</v>
      </c>
      <c r="B42" s="799" t="s">
        <v>1053</v>
      </c>
      <c r="C42" s="471"/>
      <c r="D42" s="468"/>
      <c r="E42" s="468"/>
      <c r="F42" s="470"/>
      <c r="G42" s="6">
        <f>G37+G38+G39+G40+G41</f>
        <v>102478.58065685592</v>
      </c>
    </row>
    <row r="43" spans="1:7" ht="33.75" customHeight="1">
      <c r="A43" s="468">
        <v>24</v>
      </c>
      <c r="B43" s="218" t="s">
        <v>1054</v>
      </c>
      <c r="C43" s="471"/>
      <c r="D43" s="468"/>
      <c r="E43" s="468"/>
      <c r="F43" s="470">
        <v>0.11</v>
      </c>
      <c r="G43" s="470">
        <f>G37*F43</f>
        <v>8124.95167</v>
      </c>
    </row>
    <row r="44" spans="1:7" ht="18.75" customHeight="1">
      <c r="A44" s="468">
        <v>25</v>
      </c>
      <c r="B44" s="910" t="s">
        <v>69</v>
      </c>
      <c r="C44" s="471"/>
      <c r="D44" s="468"/>
      <c r="E44" s="468"/>
      <c r="F44" s="470"/>
      <c r="G44" s="470">
        <f>G42+G43</f>
        <v>110603.53232685592</v>
      </c>
    </row>
    <row r="45" spans="1:7" ht="32.25" customHeight="1">
      <c r="A45" s="30">
        <v>26</v>
      </c>
      <c r="B45" s="833" t="s">
        <v>843</v>
      </c>
      <c r="C45" s="471"/>
      <c r="D45" s="468"/>
      <c r="E45" s="468"/>
      <c r="F45" s="470"/>
      <c r="G45" s="918">
        <f>ROUND((G44),0)</f>
        <v>110604</v>
      </c>
    </row>
    <row r="46" spans="1:7" ht="15">
      <c r="A46" s="173"/>
      <c r="B46" s="13"/>
      <c r="C46" s="13"/>
      <c r="D46" s="13"/>
      <c r="E46" s="13"/>
      <c r="F46" s="13"/>
      <c r="G46" s="13"/>
    </row>
    <row r="47" spans="1:7" ht="15">
      <c r="A47" s="173"/>
      <c r="B47" s="7"/>
      <c r="C47" s="13"/>
      <c r="D47" s="13"/>
      <c r="E47" s="13"/>
      <c r="F47" s="13"/>
      <c r="G47" s="13"/>
    </row>
    <row r="48" spans="1:7" ht="15">
      <c r="A48" s="173"/>
      <c r="B48" s="7"/>
      <c r="C48" s="13"/>
      <c r="D48" s="13"/>
      <c r="E48" s="13"/>
      <c r="F48" s="13"/>
      <c r="G48" s="13"/>
    </row>
    <row r="49" spans="1:7" ht="15">
      <c r="A49" s="173"/>
      <c r="B49" s="7"/>
      <c r="C49" s="13"/>
      <c r="D49" s="13"/>
      <c r="E49" s="13"/>
      <c r="F49" s="13"/>
      <c r="G49" s="13"/>
    </row>
    <row r="50" spans="1:7" ht="15">
      <c r="A50" s="173"/>
      <c r="B50" s="7"/>
      <c r="C50" s="13"/>
      <c r="D50" s="13"/>
      <c r="E50" s="13"/>
      <c r="F50" s="13"/>
      <c r="G50" s="13"/>
    </row>
    <row r="51" spans="1:7" ht="15">
      <c r="A51" s="173"/>
      <c r="B51" s="7"/>
      <c r="C51" s="13"/>
      <c r="D51" s="13"/>
      <c r="E51" s="13"/>
      <c r="F51" s="13"/>
      <c r="G51" s="13"/>
    </row>
    <row r="52" spans="1:7" ht="15">
      <c r="A52" s="173"/>
      <c r="B52" s="7"/>
      <c r="C52" s="13"/>
      <c r="D52" s="13"/>
      <c r="E52" s="13"/>
      <c r="F52" s="13"/>
      <c r="G52" s="13"/>
    </row>
    <row r="53" spans="1:7" ht="15">
      <c r="A53" s="173"/>
      <c r="B53" s="7"/>
      <c r="C53" s="13"/>
      <c r="D53" s="13"/>
      <c r="E53" s="13"/>
      <c r="F53" s="13"/>
      <c r="G53" s="13"/>
    </row>
    <row r="54" spans="1:7" ht="15">
      <c r="A54" s="173"/>
      <c r="B54" s="7"/>
      <c r="C54" s="13"/>
      <c r="D54" s="13"/>
      <c r="E54" s="13"/>
      <c r="F54" s="13"/>
      <c r="G54" s="13"/>
    </row>
    <row r="55" spans="1:7" ht="15">
      <c r="A55" s="173"/>
      <c r="B55" s="13"/>
      <c r="C55" s="13"/>
      <c r="D55" s="13"/>
      <c r="E55" s="13"/>
      <c r="F55" s="13"/>
      <c r="G55" s="13"/>
    </row>
    <row r="56" spans="1:7" ht="15">
      <c r="A56" s="173"/>
      <c r="B56" s="13"/>
      <c r="C56" s="13"/>
      <c r="D56" s="13"/>
      <c r="E56" s="13"/>
      <c r="F56" s="13"/>
      <c r="G56" s="13"/>
    </row>
    <row r="57" spans="1:7" ht="15">
      <c r="A57" s="173"/>
      <c r="B57" s="13"/>
      <c r="C57" s="13"/>
      <c r="D57" s="13"/>
      <c r="E57" s="13"/>
      <c r="F57" s="13"/>
      <c r="G57" s="13"/>
    </row>
    <row r="58" spans="1:7" ht="15">
      <c r="A58" s="173"/>
      <c r="B58" s="13"/>
      <c r="C58" s="13"/>
      <c r="D58" s="13"/>
      <c r="E58" s="13"/>
      <c r="F58" s="13"/>
      <c r="G58" s="13"/>
    </row>
    <row r="59" spans="1:7" ht="15">
      <c r="A59" s="173"/>
      <c r="B59" s="13"/>
      <c r="C59" s="13"/>
      <c r="D59" s="13"/>
      <c r="E59" s="13"/>
      <c r="F59" s="13"/>
      <c r="G59" s="13"/>
    </row>
    <row r="60" spans="1:7" ht="15">
      <c r="A60" s="173"/>
      <c r="B60" s="13"/>
      <c r="C60" s="13"/>
      <c r="D60" s="13"/>
      <c r="E60" s="13"/>
      <c r="F60" s="13"/>
      <c r="G60" s="13"/>
    </row>
    <row r="63" spans="2:5" ht="15.75">
      <c r="B63" s="1460" t="s">
        <v>2142</v>
      </c>
      <c r="C63" s="1460"/>
      <c r="D63" s="1460"/>
      <c r="E63" s="1460"/>
    </row>
    <row r="65" spans="1:7" ht="33.75" customHeight="1">
      <c r="A65" s="468">
        <v>2</v>
      </c>
      <c r="B65" s="218" t="s">
        <v>295</v>
      </c>
      <c r="C65" s="19">
        <v>7130601072</v>
      </c>
      <c r="D65" s="3" t="s">
        <v>1576</v>
      </c>
      <c r="E65" s="1330"/>
      <c r="F65" s="1331"/>
      <c r="G65" s="1331"/>
    </row>
    <row r="66" spans="1:7" ht="15">
      <c r="A66" s="1469">
        <v>8</v>
      </c>
      <c r="B66" s="455" t="s">
        <v>1240</v>
      </c>
      <c r="C66" s="471" t="s">
        <v>55</v>
      </c>
      <c r="D66" s="468" t="s">
        <v>1331</v>
      </c>
      <c r="E66" s="1332"/>
      <c r="F66" s="1331"/>
      <c r="G66" s="1331"/>
    </row>
    <row r="67" spans="1:7" ht="15">
      <c r="A67" s="1469"/>
      <c r="B67" s="218" t="s">
        <v>2116</v>
      </c>
      <c r="C67" s="19">
        <v>7130810201</v>
      </c>
      <c r="D67" s="3" t="s">
        <v>83</v>
      </c>
      <c r="E67" s="1333"/>
      <c r="F67" s="1331"/>
      <c r="G67" s="1331"/>
    </row>
    <row r="68" spans="1:7" ht="16.5" customHeight="1">
      <c r="A68" s="468">
        <v>11</v>
      </c>
      <c r="B68" s="218" t="s">
        <v>1164</v>
      </c>
      <c r="C68" s="19">
        <v>7130810201</v>
      </c>
      <c r="D68" s="3" t="s">
        <v>83</v>
      </c>
      <c r="E68" s="1332"/>
      <c r="F68" s="1331"/>
      <c r="G68" s="1331"/>
    </row>
    <row r="69" spans="1:7" ht="16.5" customHeight="1">
      <c r="A69" s="468">
        <v>12</v>
      </c>
      <c r="B69" s="218" t="s">
        <v>1165</v>
      </c>
      <c r="C69" s="19">
        <v>7130810251</v>
      </c>
      <c r="D69" s="3" t="s">
        <v>83</v>
      </c>
      <c r="E69" s="1332"/>
      <c r="F69" s="1331"/>
      <c r="G69" s="1331"/>
    </row>
  </sheetData>
  <sheetProtection/>
  <mergeCells count="14">
    <mergeCell ref="H26:I26"/>
    <mergeCell ref="B1:D1"/>
    <mergeCell ref="B3:G3"/>
    <mergeCell ref="E7:G7"/>
    <mergeCell ref="F5:G5"/>
    <mergeCell ref="D7:D8"/>
    <mergeCell ref="B7:B8"/>
    <mergeCell ref="C7:C8"/>
    <mergeCell ref="A22:A23"/>
    <mergeCell ref="A16:A18"/>
    <mergeCell ref="B63:E63"/>
    <mergeCell ref="A66:A67"/>
    <mergeCell ref="A29:A36"/>
    <mergeCell ref="A7:A8"/>
  </mergeCells>
  <printOptions horizontalCentered="1"/>
  <pageMargins left="0.65" right="0.16" top="0.82" bottom="0.31" header="0.5" footer="0.16"/>
  <pageSetup horizontalDpi="600" verticalDpi="600" orientation="landscape" scale="125" r:id="rId1"/>
</worksheet>
</file>

<file path=xl/worksheets/sheet11.xml><?xml version="1.0" encoding="utf-8"?>
<worksheet xmlns="http://schemas.openxmlformats.org/spreadsheetml/2006/main" xmlns:r="http://schemas.openxmlformats.org/officeDocument/2006/relationships">
  <sheetPr>
    <tabColor indexed="15"/>
  </sheetPr>
  <dimension ref="A1:O120"/>
  <sheetViews>
    <sheetView zoomScalePageLayoutView="0" workbookViewId="0" topLeftCell="A1">
      <pane xSplit="2" ySplit="10" topLeftCell="C11" activePane="bottomRight" state="frozen"/>
      <selection pane="topLeft" activeCell="A1" sqref="A1"/>
      <selection pane="topRight" activeCell="C1" sqref="C1"/>
      <selection pane="bottomLeft" activeCell="A11" sqref="A11"/>
      <selection pane="bottomRight" activeCell="E18" sqref="E18"/>
    </sheetView>
  </sheetViews>
  <sheetFormatPr defaultColWidth="9.140625" defaultRowHeight="12.75"/>
  <cols>
    <col min="1" max="1" width="4.7109375" style="2" customWidth="1"/>
    <col min="2" max="2" width="52.7109375" style="2" customWidth="1"/>
    <col min="3" max="3" width="12.57421875" style="2" customWidth="1"/>
    <col min="4" max="4" width="5.7109375" style="2" bestFit="1" customWidth="1"/>
    <col min="5" max="5" width="9.57421875" style="2" bestFit="1" customWidth="1"/>
    <col min="6" max="6" width="5.00390625" style="2" bestFit="1" customWidth="1"/>
    <col min="7" max="10" width="12.7109375" style="2" customWidth="1"/>
    <col min="11" max="11" width="32.28125" style="2" customWidth="1"/>
    <col min="12" max="12" width="66.140625" style="2" customWidth="1"/>
    <col min="13" max="13" width="30.00390625" style="2" customWidth="1"/>
    <col min="14" max="14" width="11.28125" style="2" customWidth="1"/>
    <col min="15" max="18" width="9.140625" style="2" customWidth="1"/>
    <col min="19" max="19" width="11.00390625" style="2" bestFit="1" customWidth="1"/>
    <col min="20" max="16384" width="9.140625" style="2" customWidth="1"/>
  </cols>
  <sheetData>
    <row r="1" spans="1:12" ht="18">
      <c r="A1" s="145"/>
      <c r="B1" s="1477" t="s">
        <v>1178</v>
      </c>
      <c r="C1" s="1477"/>
      <c r="D1" s="1477"/>
      <c r="E1" s="1477"/>
      <c r="F1" s="516"/>
      <c r="G1" s="80"/>
      <c r="H1" s="80"/>
      <c r="J1" s="80"/>
      <c r="K1" s="80"/>
      <c r="L1" s="80"/>
    </row>
    <row r="2" spans="1:10" ht="11.25" customHeight="1">
      <c r="A2" s="81"/>
      <c r="B2" s="81"/>
      <c r="C2" s="81"/>
      <c r="D2" s="81"/>
      <c r="E2" s="81"/>
      <c r="F2" s="81"/>
      <c r="G2" s="81"/>
      <c r="H2" s="81"/>
      <c r="I2" s="81"/>
      <c r="J2" s="81"/>
    </row>
    <row r="3" spans="1:12" ht="45" customHeight="1">
      <c r="A3" s="82"/>
      <c r="B3" s="1415" t="s">
        <v>1733</v>
      </c>
      <c r="C3" s="1415"/>
      <c r="D3" s="1415"/>
      <c r="E3" s="1415"/>
      <c r="F3" s="1415"/>
      <c r="G3" s="1415"/>
      <c r="H3" s="1415"/>
      <c r="I3" s="1415"/>
      <c r="J3" s="1415"/>
      <c r="K3" s="45"/>
      <c r="L3" s="45"/>
    </row>
    <row r="4" spans="1:14" ht="10.5" customHeight="1">
      <c r="A4" s="77"/>
      <c r="B4" s="77"/>
      <c r="C4" s="77"/>
      <c r="D4" s="77"/>
      <c r="E4" s="77"/>
      <c r="F4" s="77"/>
      <c r="G4" s="77"/>
      <c r="H4" s="77"/>
      <c r="I4" s="77"/>
      <c r="J4" s="77"/>
      <c r="K4" s="45"/>
      <c r="L4" s="437"/>
      <c r="M4" s="189"/>
      <c r="N4" s="189"/>
    </row>
    <row r="5" spans="1:12" ht="15.75">
      <c r="A5" s="76"/>
      <c r="B5" s="76"/>
      <c r="C5" s="76"/>
      <c r="D5" s="76"/>
      <c r="E5" s="76"/>
      <c r="F5" s="76"/>
      <c r="H5" s="196"/>
      <c r="I5" s="430" t="s">
        <v>244</v>
      </c>
      <c r="J5" s="196"/>
      <c r="K5" s="174"/>
      <c r="L5" s="174"/>
    </row>
    <row r="6" spans="1:12" ht="15.75" customHeight="1">
      <c r="A6" s="76"/>
      <c r="B6" s="76"/>
      <c r="C6" s="76"/>
      <c r="D6" s="76"/>
      <c r="E6" s="76"/>
      <c r="F6" s="76"/>
      <c r="G6" s="1480" t="s">
        <v>1383</v>
      </c>
      <c r="H6" s="1480"/>
      <c r="I6" s="608"/>
      <c r="J6" s="196"/>
      <c r="K6" s="174"/>
      <c r="L6" s="174"/>
    </row>
    <row r="7" spans="1:10" ht="27.75" customHeight="1">
      <c r="A7" s="1479" t="s">
        <v>2104</v>
      </c>
      <c r="B7" s="1478" t="s">
        <v>79</v>
      </c>
      <c r="C7" s="1482" t="s">
        <v>88</v>
      </c>
      <c r="D7" s="1478" t="s">
        <v>80</v>
      </c>
      <c r="E7" s="1478" t="s">
        <v>1326</v>
      </c>
      <c r="F7" s="1478" t="s">
        <v>1067</v>
      </c>
      <c r="G7" s="1478" t="s">
        <v>2270</v>
      </c>
      <c r="H7" s="1478"/>
      <c r="I7" s="1479" t="s">
        <v>2271</v>
      </c>
      <c r="J7" s="1479"/>
    </row>
    <row r="8" spans="1:10" ht="45.75" customHeight="1">
      <c r="A8" s="1479"/>
      <c r="B8" s="1478"/>
      <c r="C8" s="1482"/>
      <c r="D8" s="1478"/>
      <c r="E8" s="1478"/>
      <c r="F8" s="1478"/>
      <c r="G8" s="46" t="s">
        <v>877</v>
      </c>
      <c r="H8" s="46" t="s">
        <v>101</v>
      </c>
      <c r="I8" s="46" t="s">
        <v>877</v>
      </c>
      <c r="J8" s="46" t="s">
        <v>101</v>
      </c>
    </row>
    <row r="9" spans="1:10" ht="16.5" customHeight="1">
      <c r="A9" s="1479"/>
      <c r="B9" s="1478"/>
      <c r="C9" s="1482"/>
      <c r="D9" s="1478"/>
      <c r="E9" s="1478"/>
      <c r="F9" s="1478"/>
      <c r="G9" s="135" t="s">
        <v>1327</v>
      </c>
      <c r="H9" s="135" t="s">
        <v>1327</v>
      </c>
      <c r="I9" s="135" t="s">
        <v>1327</v>
      </c>
      <c r="J9" s="135" t="s">
        <v>1327</v>
      </c>
    </row>
    <row r="10" spans="1:10" ht="15">
      <c r="A10" s="83">
        <v>1</v>
      </c>
      <c r="B10" s="83">
        <v>2</v>
      </c>
      <c r="C10" s="83">
        <v>3</v>
      </c>
      <c r="D10" s="83">
        <v>4</v>
      </c>
      <c r="E10" s="83">
        <v>5</v>
      </c>
      <c r="F10" s="83">
        <v>6</v>
      </c>
      <c r="G10" s="83">
        <v>7</v>
      </c>
      <c r="H10" s="83">
        <v>8</v>
      </c>
      <c r="I10" s="83">
        <v>9</v>
      </c>
      <c r="J10" s="83">
        <v>10</v>
      </c>
    </row>
    <row r="11" spans="1:12" ht="14.25">
      <c r="A11" s="472">
        <v>1</v>
      </c>
      <c r="B11" s="613" t="s">
        <v>1526</v>
      </c>
      <c r="C11" s="238">
        <v>7132461004</v>
      </c>
      <c r="D11" s="472" t="s">
        <v>1721</v>
      </c>
      <c r="E11" s="852">
        <f>VLOOKUP(C11,'SOR RATE'!A:D,4,0)</f>
        <v>1020</v>
      </c>
      <c r="F11" s="472">
        <v>120</v>
      </c>
      <c r="G11" s="852">
        <f>F11*E11</f>
        <v>122400</v>
      </c>
      <c r="H11" s="852">
        <f>E11*F11</f>
        <v>122400</v>
      </c>
      <c r="I11" s="222">
        <f>E11*F11</f>
        <v>122400</v>
      </c>
      <c r="J11" s="222">
        <f>E11*F11</f>
        <v>122400</v>
      </c>
      <c r="K11" s="206"/>
      <c r="L11" s="206"/>
    </row>
    <row r="12" spans="1:12" ht="14.25">
      <c r="A12" s="472">
        <v>2</v>
      </c>
      <c r="B12" s="613" t="s">
        <v>1069</v>
      </c>
      <c r="C12" s="238">
        <v>7132461005</v>
      </c>
      <c r="D12" s="472" t="s">
        <v>83</v>
      </c>
      <c r="E12" s="852">
        <f>VLOOKUP(C12,'SOR RATE'!A:D,4,0)</f>
        <v>371</v>
      </c>
      <c r="F12" s="472">
        <v>18</v>
      </c>
      <c r="G12" s="852">
        <f>F12*E12</f>
        <v>6678</v>
      </c>
      <c r="H12" s="852">
        <f>E12*F12</f>
        <v>6678</v>
      </c>
      <c r="I12" s="222">
        <f>E12*F12</f>
        <v>6678</v>
      </c>
      <c r="J12" s="222">
        <f>E12*F12</f>
        <v>6678</v>
      </c>
      <c r="K12" s="563" t="s">
        <v>1384</v>
      </c>
      <c r="L12" s="148"/>
    </row>
    <row r="13" spans="1:12" ht="14.25">
      <c r="A13" s="472">
        <v>3</v>
      </c>
      <c r="B13" s="850" t="s">
        <v>1602</v>
      </c>
      <c r="C13" s="238">
        <v>7130310075</v>
      </c>
      <c r="D13" s="472" t="s">
        <v>1721</v>
      </c>
      <c r="E13" s="852">
        <f>VLOOKUP(C13,'SOR RATE'!A:D,4,0)/1000</f>
        <v>1891.074</v>
      </c>
      <c r="F13" s="472">
        <v>180</v>
      </c>
      <c r="G13" s="852">
        <f>F13*E13</f>
        <v>340393.32</v>
      </c>
      <c r="H13" s="852"/>
      <c r="I13" s="222">
        <f>E13*F13</f>
        <v>340393.32</v>
      </c>
      <c r="J13" s="222"/>
      <c r="K13" s="563" t="s">
        <v>1385</v>
      </c>
      <c r="L13" s="145"/>
    </row>
    <row r="14" spans="1:12" ht="14.25">
      <c r="A14" s="472">
        <v>4</v>
      </c>
      <c r="B14" s="850" t="s">
        <v>102</v>
      </c>
      <c r="C14" s="238">
        <v>7130310020</v>
      </c>
      <c r="D14" s="472" t="s">
        <v>1721</v>
      </c>
      <c r="E14" s="852">
        <f>VLOOKUP(C14,'SOR RATE'!A:D,4,0)/1000</f>
        <v>2066.592</v>
      </c>
      <c r="F14" s="472">
        <v>190</v>
      </c>
      <c r="G14" s="852"/>
      <c r="H14" s="852">
        <f>E14*F14</f>
        <v>392652.48000000004</v>
      </c>
      <c r="I14" s="222"/>
      <c r="J14" s="222">
        <f>E14*F14</f>
        <v>392652.48000000004</v>
      </c>
      <c r="K14" s="563" t="s">
        <v>1385</v>
      </c>
      <c r="L14" s="125"/>
    </row>
    <row r="15" spans="1:12" ht="16.5" customHeight="1">
      <c r="A15" s="221">
        <v>5</v>
      </c>
      <c r="B15" s="922" t="s">
        <v>1601</v>
      </c>
      <c r="C15" s="923">
        <v>7130352037</v>
      </c>
      <c r="D15" s="221" t="s">
        <v>1330</v>
      </c>
      <c r="E15" s="222">
        <f>VLOOKUP(C15,'SOR RATE'!A:D,4,0)</f>
        <v>21050</v>
      </c>
      <c r="F15" s="221">
        <v>4</v>
      </c>
      <c r="G15" s="222">
        <f>F15*E15</f>
        <v>84200</v>
      </c>
      <c r="H15" s="222"/>
      <c r="I15" s="222">
        <f>E15*F15</f>
        <v>84200</v>
      </c>
      <c r="J15" s="222"/>
      <c r="L15" s="145"/>
    </row>
    <row r="16" spans="1:12" ht="16.5" customHeight="1">
      <c r="A16" s="221">
        <v>6</v>
      </c>
      <c r="B16" s="613" t="s">
        <v>103</v>
      </c>
      <c r="C16" s="923">
        <v>7130352010</v>
      </c>
      <c r="D16" s="221" t="s">
        <v>1330</v>
      </c>
      <c r="E16" s="222">
        <f>VLOOKUP(C16,'SOR RATE'!A:D,4,0)</f>
        <v>35084</v>
      </c>
      <c r="F16" s="221">
        <v>4</v>
      </c>
      <c r="G16" s="222"/>
      <c r="H16" s="222">
        <f aca="true" t="shared" si="0" ref="H16:H26">E16*F16</f>
        <v>140336</v>
      </c>
      <c r="I16" s="222"/>
      <c r="J16" s="222">
        <f aca="true" t="shared" si="1" ref="J16:J26">E16*F16</f>
        <v>140336</v>
      </c>
      <c r="K16" s="210"/>
      <c r="L16" s="125"/>
    </row>
    <row r="17" spans="1:12" ht="16.5" customHeight="1">
      <c r="A17" s="221">
        <v>7</v>
      </c>
      <c r="B17" s="922" t="s">
        <v>2027</v>
      </c>
      <c r="C17" s="923">
        <v>7130640027</v>
      </c>
      <c r="D17" s="221" t="s">
        <v>1740</v>
      </c>
      <c r="E17" s="222">
        <f>VLOOKUP(C17,'SOR RATE'!A:D,4,0)</f>
        <v>929</v>
      </c>
      <c r="F17" s="221">
        <v>24</v>
      </c>
      <c r="G17" s="222">
        <f aca="true" t="shared" si="2" ref="G17:G23">F17*E17</f>
        <v>22296</v>
      </c>
      <c r="H17" s="222">
        <f t="shared" si="0"/>
        <v>22296</v>
      </c>
      <c r="I17" s="222">
        <f aca="true" t="shared" si="3" ref="I17:I26">E17*F17</f>
        <v>22296</v>
      </c>
      <c r="J17" s="222">
        <f t="shared" si="1"/>
        <v>22296</v>
      </c>
      <c r="K17" s="563" t="s">
        <v>1529</v>
      </c>
      <c r="L17" s="520" t="s">
        <v>1386</v>
      </c>
    </row>
    <row r="18" spans="1:13" ht="60.75" customHeight="1">
      <c r="A18" s="472">
        <v>8</v>
      </c>
      <c r="B18" s="613" t="s">
        <v>535</v>
      </c>
      <c r="C18" s="221"/>
      <c r="D18" s="221" t="s">
        <v>1331</v>
      </c>
      <c r="E18" s="222">
        <v>1500</v>
      </c>
      <c r="F18" s="221">
        <v>4</v>
      </c>
      <c r="G18" s="222">
        <f t="shared" si="2"/>
        <v>6000</v>
      </c>
      <c r="H18" s="222">
        <f t="shared" si="0"/>
        <v>6000</v>
      </c>
      <c r="I18" s="222">
        <f t="shared" si="3"/>
        <v>6000</v>
      </c>
      <c r="J18" s="222">
        <f t="shared" si="1"/>
        <v>6000</v>
      </c>
      <c r="K18" s="609" t="s">
        <v>1530</v>
      </c>
      <c r="L18" s="149"/>
      <c r="M18" s="208"/>
    </row>
    <row r="19" spans="1:13" ht="15.75" customHeight="1">
      <c r="A19" s="472">
        <v>9</v>
      </c>
      <c r="B19" s="613" t="s">
        <v>507</v>
      </c>
      <c r="C19" s="221">
        <v>7130600173</v>
      </c>
      <c r="D19" s="221" t="s">
        <v>1722</v>
      </c>
      <c r="E19" s="222">
        <f>VLOOKUP(C19,'SOR RATE'!A:D,4,0)/1000</f>
        <v>34.149</v>
      </c>
      <c r="F19" s="221">
        <v>100</v>
      </c>
      <c r="G19" s="222">
        <f t="shared" si="2"/>
        <v>3414.9</v>
      </c>
      <c r="H19" s="222">
        <f t="shared" si="0"/>
        <v>3414.9</v>
      </c>
      <c r="I19" s="222">
        <f t="shared" si="3"/>
        <v>3414.9</v>
      </c>
      <c r="J19" s="222">
        <f t="shared" si="1"/>
        <v>3414.9</v>
      </c>
      <c r="K19" s="207"/>
      <c r="L19" s="149"/>
      <c r="M19" s="149"/>
    </row>
    <row r="20" spans="1:13" ht="45" customHeight="1">
      <c r="A20" s="472">
        <v>10</v>
      </c>
      <c r="B20" s="613" t="s">
        <v>2028</v>
      </c>
      <c r="C20" s="924"/>
      <c r="D20" s="221" t="s">
        <v>83</v>
      </c>
      <c r="E20" s="222">
        <v>556</v>
      </c>
      <c r="F20" s="221">
        <v>4</v>
      </c>
      <c r="G20" s="222">
        <f t="shared" si="2"/>
        <v>2224</v>
      </c>
      <c r="H20" s="222">
        <f t="shared" si="0"/>
        <v>2224</v>
      </c>
      <c r="I20" s="222">
        <f t="shared" si="3"/>
        <v>2224</v>
      </c>
      <c r="J20" s="222">
        <f t="shared" si="1"/>
        <v>2224</v>
      </c>
      <c r="K20" s="609" t="s">
        <v>25</v>
      </c>
      <c r="L20" s="149"/>
      <c r="M20" s="149"/>
    </row>
    <row r="21" spans="1:13" ht="17.25" customHeight="1">
      <c r="A21" s="472">
        <v>11</v>
      </c>
      <c r="B21" s="925" t="s">
        <v>1780</v>
      </c>
      <c r="C21" s="926">
        <v>7130201343</v>
      </c>
      <c r="D21" s="221" t="s">
        <v>83</v>
      </c>
      <c r="E21" s="222">
        <f>VLOOKUP(C21,'SOR RATE'!A:D,4,0)/1000</f>
        <v>10.423</v>
      </c>
      <c r="F21" s="221">
        <f>4*20</f>
        <v>80</v>
      </c>
      <c r="G21" s="222">
        <f t="shared" si="2"/>
        <v>833.84</v>
      </c>
      <c r="H21" s="222">
        <f t="shared" si="0"/>
        <v>833.84</v>
      </c>
      <c r="I21" s="222">
        <f t="shared" si="3"/>
        <v>833.84</v>
      </c>
      <c r="J21" s="222">
        <f t="shared" si="1"/>
        <v>833.84</v>
      </c>
      <c r="K21" s="602" t="s">
        <v>2191</v>
      </c>
      <c r="L21" s="149"/>
      <c r="M21" s="149"/>
    </row>
    <row r="22" spans="1:13" ht="17.25" customHeight="1">
      <c r="A22" s="926">
        <v>12</v>
      </c>
      <c r="B22" s="925" t="s">
        <v>1781</v>
      </c>
      <c r="C22" s="926">
        <v>7132498006</v>
      </c>
      <c r="D22" s="221" t="s">
        <v>1571</v>
      </c>
      <c r="E22" s="222">
        <f>VLOOKUP(C22,'SOR RATE'!A:D,4,0)</f>
        <v>670</v>
      </c>
      <c r="F22" s="221">
        <f>0.06*20</f>
        <v>1.2</v>
      </c>
      <c r="G22" s="222">
        <f t="shared" si="2"/>
        <v>804</v>
      </c>
      <c r="H22" s="222">
        <f t="shared" si="0"/>
        <v>804</v>
      </c>
      <c r="I22" s="222">
        <f t="shared" si="3"/>
        <v>804</v>
      </c>
      <c r="J22" s="222">
        <f t="shared" si="1"/>
        <v>804</v>
      </c>
      <c r="K22" s="602" t="s">
        <v>2191</v>
      </c>
      <c r="L22" s="149"/>
      <c r="M22" s="149"/>
    </row>
    <row r="23" spans="1:13" ht="15.75" customHeight="1">
      <c r="A23" s="926">
        <v>13</v>
      </c>
      <c r="B23" s="246" t="s">
        <v>1652</v>
      </c>
      <c r="C23" s="927">
        <v>7130840021</v>
      </c>
      <c r="D23" s="848" t="s">
        <v>1611</v>
      </c>
      <c r="E23" s="222">
        <f>VLOOKUP(C23,'SOR RATE'!A:D,4,0)</f>
        <v>3551</v>
      </c>
      <c r="F23" s="221">
        <v>6</v>
      </c>
      <c r="G23" s="222">
        <f t="shared" si="2"/>
        <v>21306</v>
      </c>
      <c r="H23" s="222">
        <f t="shared" si="0"/>
        <v>21306</v>
      </c>
      <c r="I23" s="222">
        <f t="shared" si="3"/>
        <v>21306</v>
      </c>
      <c r="J23" s="222">
        <f t="shared" si="1"/>
        <v>21306</v>
      </c>
      <c r="K23" s="602" t="s">
        <v>2191</v>
      </c>
      <c r="L23" s="149"/>
      <c r="M23" s="149"/>
    </row>
    <row r="24" spans="1:13" ht="15.75" customHeight="1">
      <c r="A24" s="926">
        <v>14</v>
      </c>
      <c r="B24" s="246" t="s">
        <v>1531</v>
      </c>
      <c r="C24" s="927">
        <v>7130830060</v>
      </c>
      <c r="D24" s="848" t="s">
        <v>1721</v>
      </c>
      <c r="E24" s="222">
        <f>VLOOKUP(C24,'SOR RATE'!A:D,4,0)/1000</f>
        <v>42.115</v>
      </c>
      <c r="F24" s="221">
        <v>18</v>
      </c>
      <c r="G24" s="222">
        <f>E24*F24</f>
        <v>758.07</v>
      </c>
      <c r="H24" s="222">
        <f t="shared" si="0"/>
        <v>758.07</v>
      </c>
      <c r="I24" s="222">
        <f t="shared" si="3"/>
        <v>758.07</v>
      </c>
      <c r="J24" s="222">
        <f t="shared" si="1"/>
        <v>758.07</v>
      </c>
      <c r="K24" s="602" t="s">
        <v>2191</v>
      </c>
      <c r="L24" s="149"/>
      <c r="M24" s="149"/>
    </row>
    <row r="25" spans="1:13" ht="29.25" customHeight="1">
      <c r="A25" s="926">
        <v>15</v>
      </c>
      <c r="B25" s="246" t="s">
        <v>2029</v>
      </c>
      <c r="C25" s="927">
        <v>7130830585</v>
      </c>
      <c r="D25" s="848" t="s">
        <v>1331</v>
      </c>
      <c r="E25" s="222">
        <f>VLOOKUP(C25,'SOR RATE'!A:D,4,0)</f>
        <v>223</v>
      </c>
      <c r="F25" s="221">
        <v>6</v>
      </c>
      <c r="G25" s="222">
        <f>E25*F25</f>
        <v>1338</v>
      </c>
      <c r="H25" s="222">
        <f t="shared" si="0"/>
        <v>1338</v>
      </c>
      <c r="I25" s="222">
        <f t="shared" si="3"/>
        <v>1338</v>
      </c>
      <c r="J25" s="222">
        <f t="shared" si="1"/>
        <v>1338</v>
      </c>
      <c r="K25" s="602" t="s">
        <v>2191</v>
      </c>
      <c r="L25" s="149"/>
      <c r="M25" s="149"/>
    </row>
    <row r="26" spans="1:13" ht="54.75" customHeight="1">
      <c r="A26" s="472">
        <v>16</v>
      </c>
      <c r="B26" s="613" t="s">
        <v>2030</v>
      </c>
      <c r="C26" s="221">
        <v>7130642039</v>
      </c>
      <c r="D26" s="221" t="s">
        <v>83</v>
      </c>
      <c r="E26" s="222">
        <f>VLOOKUP(C26,'SOR RATE'!A:D,4,0)</f>
        <v>770</v>
      </c>
      <c r="F26" s="221">
        <f>4+6</f>
        <v>10</v>
      </c>
      <c r="G26" s="222">
        <f>F26*E26</f>
        <v>7700</v>
      </c>
      <c r="H26" s="222">
        <f t="shared" si="0"/>
        <v>7700</v>
      </c>
      <c r="I26" s="222">
        <f t="shared" si="3"/>
        <v>7700</v>
      </c>
      <c r="J26" s="222">
        <f t="shared" si="1"/>
        <v>7700</v>
      </c>
      <c r="K26" s="1334" t="s">
        <v>1727</v>
      </c>
      <c r="L26" s="208" t="s">
        <v>221</v>
      </c>
      <c r="M26" s="149"/>
    </row>
    <row r="27" spans="1:13" ht="60.75" customHeight="1">
      <c r="A27" s="472">
        <v>17</v>
      </c>
      <c r="B27" s="613" t="s">
        <v>1731</v>
      </c>
      <c r="C27" s="928"/>
      <c r="D27" s="472" t="s">
        <v>64</v>
      </c>
      <c r="E27" s="852" t="s">
        <v>64</v>
      </c>
      <c r="F27" s="472" t="s">
        <v>64</v>
      </c>
      <c r="G27" s="852">
        <v>25000</v>
      </c>
      <c r="H27" s="852">
        <v>25000</v>
      </c>
      <c r="I27" s="852">
        <v>25000</v>
      </c>
      <c r="J27" s="852">
        <v>25000</v>
      </c>
      <c r="K27" s="145"/>
      <c r="L27" s="149"/>
      <c r="M27" s="149"/>
    </row>
    <row r="28" spans="1:13" ht="16.5" customHeight="1">
      <c r="A28" s="929">
        <v>18</v>
      </c>
      <c r="B28" s="858" t="s">
        <v>1052</v>
      </c>
      <c r="C28" s="930"/>
      <c r="D28" s="931"/>
      <c r="E28" s="929"/>
      <c r="F28" s="929"/>
      <c r="G28" s="932">
        <f>SUM(G11:G27)</f>
        <v>645346.13</v>
      </c>
      <c r="H28" s="932">
        <f>SUM(H11:H27)</f>
        <v>753741.2899999999</v>
      </c>
      <c r="I28" s="932">
        <f>SUM(I11:I27)</f>
        <v>645346.13</v>
      </c>
      <c r="J28" s="932">
        <f>SUM(J11:J27)</f>
        <v>753741.2899999999</v>
      </c>
      <c r="K28" s="195"/>
      <c r="L28" s="195"/>
      <c r="M28" s="209"/>
    </row>
    <row r="29" spans="1:13" ht="18" customHeight="1">
      <c r="A29" s="472">
        <v>19</v>
      </c>
      <c r="B29" s="223" t="s">
        <v>1051</v>
      </c>
      <c r="C29" s="933"/>
      <c r="D29" s="934"/>
      <c r="E29" s="848">
        <v>0.09</v>
      </c>
      <c r="F29" s="935"/>
      <c r="G29" s="849">
        <f>G28*E29</f>
        <v>58081.151699999995</v>
      </c>
      <c r="H29" s="849">
        <f>H28*E29</f>
        <v>67836.71609999999</v>
      </c>
      <c r="I29" s="849">
        <f>I28*E29</f>
        <v>58081.151699999995</v>
      </c>
      <c r="J29" s="849">
        <f>J28*E29</f>
        <v>67836.71609999999</v>
      </c>
      <c r="K29" s="195"/>
      <c r="L29" s="195"/>
      <c r="M29" s="195"/>
    </row>
    <row r="30" spans="1:14" ht="18" customHeight="1">
      <c r="A30" s="472">
        <v>20</v>
      </c>
      <c r="B30" s="922" t="s">
        <v>240</v>
      </c>
      <c r="C30" s="936"/>
      <c r="D30" s="221" t="s">
        <v>83</v>
      </c>
      <c r="E30" s="849">
        <f>1417.73*1.086275*1.1112*1.0685*1.06217</f>
        <v>1942.2006907259895</v>
      </c>
      <c r="F30" s="848">
        <v>10</v>
      </c>
      <c r="G30" s="222">
        <f>E30*F30</f>
        <v>19422.006907259896</v>
      </c>
      <c r="H30" s="222">
        <f>E30*F30</f>
        <v>19422.006907259896</v>
      </c>
      <c r="I30" s="222">
        <f>E30*F30</f>
        <v>19422.006907259896</v>
      </c>
      <c r="J30" s="222">
        <f>E30*F30</f>
        <v>19422.006907259896</v>
      </c>
      <c r="K30" s="195"/>
      <c r="L30" s="149"/>
      <c r="M30" s="601"/>
      <c r="N30" s="145"/>
    </row>
    <row r="31" spans="1:13" ht="32.25" customHeight="1">
      <c r="A31" s="221" t="s">
        <v>1734</v>
      </c>
      <c r="B31" s="922" t="s">
        <v>2032</v>
      </c>
      <c r="C31" s="937"/>
      <c r="D31" s="937"/>
      <c r="E31" s="938"/>
      <c r="F31" s="938"/>
      <c r="G31" s="874">
        <v>251354</v>
      </c>
      <c r="H31" s="849">
        <v>254780</v>
      </c>
      <c r="I31" s="849"/>
      <c r="J31" s="849"/>
      <c r="K31" s="195"/>
      <c r="L31" s="152"/>
      <c r="M31" s="149"/>
    </row>
    <row r="32" spans="1:13" ht="29.25">
      <c r="A32" s="472" t="s">
        <v>2272</v>
      </c>
      <c r="B32" s="937" t="s">
        <v>2273</v>
      </c>
      <c r="C32" s="937"/>
      <c r="D32" s="937"/>
      <c r="E32" s="938"/>
      <c r="F32" s="938"/>
      <c r="G32" s="849"/>
      <c r="H32" s="849"/>
      <c r="I32" s="849">
        <v>1741269</v>
      </c>
      <c r="J32" s="849">
        <v>1744694</v>
      </c>
      <c r="K32" s="195"/>
      <c r="L32" s="152"/>
      <c r="M32" s="149"/>
    </row>
    <row r="33" spans="1:13" ht="34.5" customHeight="1">
      <c r="A33" s="221">
        <v>22</v>
      </c>
      <c r="B33" s="922" t="s">
        <v>1783</v>
      </c>
      <c r="C33" s="922"/>
      <c r="D33" s="221" t="s">
        <v>1782</v>
      </c>
      <c r="E33" s="222">
        <f>176.7868*1.06217</f>
        <v>187.77763535600002</v>
      </c>
      <c r="F33" s="221">
        <v>12</v>
      </c>
      <c r="G33" s="849">
        <f>E33*F33</f>
        <v>2253.331624272</v>
      </c>
      <c r="H33" s="849">
        <f>E33*F33</f>
        <v>2253.331624272</v>
      </c>
      <c r="I33" s="849">
        <f>E33*F33</f>
        <v>2253.331624272</v>
      </c>
      <c r="J33" s="849">
        <f>E33*F33</f>
        <v>2253.331624272</v>
      </c>
      <c r="K33" s="602" t="s">
        <v>2191</v>
      </c>
      <c r="L33" s="106"/>
      <c r="M33" s="603"/>
    </row>
    <row r="34" spans="1:13" ht="18" customHeight="1">
      <c r="A34" s="221">
        <v>23</v>
      </c>
      <c r="B34" s="922" t="s">
        <v>76</v>
      </c>
      <c r="C34" s="937"/>
      <c r="D34" s="937"/>
      <c r="E34" s="938"/>
      <c r="F34" s="938"/>
      <c r="G34" s="849">
        <f>1.1*50000*1.1797*1.1402*0.9368*0.87</f>
        <v>60295.019543167204</v>
      </c>
      <c r="H34" s="849">
        <f>1.1*50000*1.1797*1.1402*0.9368*0.87</f>
        <v>60295.019543167204</v>
      </c>
      <c r="I34" s="849">
        <f>1.1*50000*1.1797*1.1402*0.9368*0.87</f>
        <v>60295.019543167204</v>
      </c>
      <c r="J34" s="849">
        <f>1.1*50000*1.1797*1.1402*0.9368*0.87</f>
        <v>60295.019543167204</v>
      </c>
      <c r="K34" s="145"/>
      <c r="L34" s="145"/>
      <c r="M34" s="145"/>
    </row>
    <row r="35" spans="1:13" ht="15">
      <c r="A35" s="929">
        <v>24</v>
      </c>
      <c r="B35" s="858" t="s">
        <v>1053</v>
      </c>
      <c r="C35" s="937"/>
      <c r="D35" s="937"/>
      <c r="E35" s="938"/>
      <c r="F35" s="938"/>
      <c r="G35" s="939">
        <f>G28+G29+G30+G31+G33+G34</f>
        <v>1036751.6397746992</v>
      </c>
      <c r="H35" s="939">
        <f>H28+H29+H30+H31+H33+H34</f>
        <v>1158328.3641746992</v>
      </c>
      <c r="I35" s="939">
        <f>I28+I29+I30+I32+I33+I34</f>
        <v>2526666.639774699</v>
      </c>
      <c r="J35" s="939">
        <f>J28+J29+J30+J32+J33+J34</f>
        <v>2648242.364174699</v>
      </c>
      <c r="K35" s="210"/>
      <c r="L35" s="210"/>
      <c r="M35" s="145"/>
    </row>
    <row r="36" spans="1:13" ht="33" customHeight="1">
      <c r="A36" s="221">
        <v>25</v>
      </c>
      <c r="B36" s="223" t="s">
        <v>1054</v>
      </c>
      <c r="C36" s="937"/>
      <c r="D36" s="937"/>
      <c r="E36" s="221">
        <v>0.11</v>
      </c>
      <c r="F36" s="938"/>
      <c r="G36" s="849">
        <f>G28*E36</f>
        <v>70988.07430000001</v>
      </c>
      <c r="H36" s="849">
        <f>H28*E36</f>
        <v>82911.5419</v>
      </c>
      <c r="I36" s="849">
        <f>I28*E36</f>
        <v>70988.07430000001</v>
      </c>
      <c r="J36" s="849">
        <f>J28*E36</f>
        <v>82911.5419</v>
      </c>
      <c r="K36" s="210"/>
      <c r="L36" s="210"/>
      <c r="M36" s="145"/>
    </row>
    <row r="37" spans="1:15" ht="37.5" customHeight="1">
      <c r="A37" s="221">
        <v>26</v>
      </c>
      <c r="B37" s="922" t="s">
        <v>1341</v>
      </c>
      <c r="C37" s="940">
        <v>0.15</v>
      </c>
      <c r="D37" s="922"/>
      <c r="E37" s="221"/>
      <c r="F37" s="221"/>
      <c r="G37" s="849">
        <f>G35*0.15</f>
        <v>155512.74596620488</v>
      </c>
      <c r="H37" s="849">
        <f>H35*0.15</f>
        <v>173749.25462620487</v>
      </c>
      <c r="I37" s="849">
        <f>I35*0.15</f>
        <v>378999.99596620485</v>
      </c>
      <c r="J37" s="849">
        <f>J35*0.15</f>
        <v>397236.3546262048</v>
      </c>
      <c r="K37" s="1335" t="s">
        <v>1728</v>
      </c>
      <c r="L37" s="521"/>
      <c r="N37" s="581"/>
      <c r="O37" s="581"/>
    </row>
    <row r="38" spans="1:10" ht="16.5" customHeight="1">
      <c r="A38" s="472">
        <v>27</v>
      </c>
      <c r="B38" s="922" t="s">
        <v>1527</v>
      </c>
      <c r="C38" s="937"/>
      <c r="D38" s="937"/>
      <c r="E38" s="938"/>
      <c r="F38" s="938"/>
      <c r="G38" s="849">
        <f>G35+G36+G37</f>
        <v>1263252.460040904</v>
      </c>
      <c r="H38" s="849">
        <f>H35+H36+H37</f>
        <v>1414989.1607009042</v>
      </c>
      <c r="I38" s="849">
        <f>I35+I36+I37</f>
        <v>2976654.710040904</v>
      </c>
      <c r="J38" s="849">
        <f>J35+J36+J37</f>
        <v>3128390.260700904</v>
      </c>
    </row>
    <row r="39" spans="1:11" ht="30">
      <c r="A39" s="929">
        <v>28</v>
      </c>
      <c r="B39" s="941" t="s">
        <v>1528</v>
      </c>
      <c r="C39" s="937"/>
      <c r="D39" s="937"/>
      <c r="E39" s="938"/>
      <c r="F39" s="938"/>
      <c r="G39" s="860">
        <f>ROUND(G38,0)</f>
        <v>1263252</v>
      </c>
      <c r="H39" s="860">
        <f>ROUND(H38,0)</f>
        <v>1414989</v>
      </c>
      <c r="I39" s="860">
        <f>ROUND(I38,0)</f>
        <v>2976655</v>
      </c>
      <c r="J39" s="860">
        <f>ROUND(J38,0)</f>
        <v>3128390</v>
      </c>
      <c r="K39" s="195"/>
    </row>
    <row r="40" spans="1:10" ht="12" customHeight="1">
      <c r="A40" s="84"/>
      <c r="B40" s="84"/>
      <c r="C40" s="84"/>
      <c r="D40" s="84"/>
      <c r="E40" s="84"/>
      <c r="F40" s="84"/>
      <c r="G40" s="84"/>
      <c r="H40" s="84"/>
      <c r="I40" s="84"/>
      <c r="J40" s="84"/>
    </row>
    <row r="41" spans="1:2" ht="17.25" customHeight="1">
      <c r="A41" s="150" t="s">
        <v>1739</v>
      </c>
      <c r="B41" s="125" t="s">
        <v>2031</v>
      </c>
    </row>
    <row r="42" spans="1:2" ht="18" customHeight="1">
      <c r="A42" s="150" t="s">
        <v>511</v>
      </c>
      <c r="B42" s="125" t="s">
        <v>1687</v>
      </c>
    </row>
    <row r="43" spans="2:8" ht="34.5" customHeight="1">
      <c r="B43" s="1483" t="s">
        <v>2034</v>
      </c>
      <c r="C43" s="1483"/>
      <c r="D43" s="1483"/>
      <c r="E43" s="1483"/>
      <c r="F43" s="1483"/>
      <c r="G43" s="616"/>
      <c r="H43" s="616"/>
    </row>
    <row r="44" spans="1:10" ht="32.25" customHeight="1">
      <c r="A44" s="615" t="s">
        <v>1686</v>
      </c>
      <c r="B44" s="1483" t="s">
        <v>937</v>
      </c>
      <c r="C44" s="1483"/>
      <c r="D44" s="1483"/>
      <c r="E44" s="1483"/>
      <c r="F44" s="1483"/>
      <c r="G44" s="45"/>
      <c r="H44" s="45"/>
      <c r="I44" s="45"/>
      <c r="J44" s="45"/>
    </row>
    <row r="45" ht="14.25">
      <c r="B45" s="210"/>
    </row>
    <row r="46" spans="2:10" ht="14.25">
      <c r="B46" s="210"/>
      <c r="G46" s="281"/>
      <c r="H46" s="281"/>
      <c r="I46" s="281"/>
      <c r="J46" s="281"/>
    </row>
    <row r="47" ht="14.25">
      <c r="B47" s="210"/>
    </row>
    <row r="48" ht="14.25">
      <c r="B48" s="210"/>
    </row>
    <row r="49" ht="14.25">
      <c r="B49" s="210"/>
    </row>
    <row r="50" ht="14.25">
      <c r="B50" s="210"/>
    </row>
    <row r="51" ht="14.25">
      <c r="B51" s="210"/>
    </row>
    <row r="52" ht="14.25">
      <c r="B52" s="210"/>
    </row>
    <row r="53" ht="14.25">
      <c r="B53" s="210"/>
    </row>
    <row r="54" ht="14.25">
      <c r="B54" s="210"/>
    </row>
    <row r="55" ht="14.25">
      <c r="B55" s="210"/>
    </row>
    <row r="56" ht="14.25">
      <c r="B56" s="210"/>
    </row>
    <row r="57" ht="14.25">
      <c r="B57" s="210"/>
    </row>
    <row r="58" ht="14.25">
      <c r="B58" s="210"/>
    </row>
    <row r="59" ht="14.25">
      <c r="B59" s="210"/>
    </row>
    <row r="60" ht="14.25">
      <c r="B60" s="210"/>
    </row>
    <row r="61" ht="14.25">
      <c r="B61" s="210"/>
    </row>
    <row r="62" ht="14.25">
      <c r="B62" s="210"/>
    </row>
    <row r="63" ht="14.25">
      <c r="B63" s="210"/>
    </row>
    <row r="64" ht="14.25">
      <c r="B64" s="210"/>
    </row>
    <row r="65" ht="14.25">
      <c r="B65" s="210"/>
    </row>
    <row r="66" ht="14.25">
      <c r="B66" s="210"/>
    </row>
    <row r="70" ht="14.25">
      <c r="B70" s="163"/>
    </row>
    <row r="75" spans="2:5" ht="15.75">
      <c r="B75" s="1460" t="s">
        <v>2023</v>
      </c>
      <c r="C75" s="1460"/>
      <c r="D75" s="1460"/>
      <c r="E75" s="1460"/>
    </row>
    <row r="77" spans="1:13" ht="15" customHeight="1">
      <c r="A77" s="472">
        <v>8</v>
      </c>
      <c r="B77" s="613" t="s">
        <v>74</v>
      </c>
      <c r="C77" s="238">
        <v>7130640028</v>
      </c>
      <c r="D77" s="221" t="s">
        <v>83</v>
      </c>
      <c r="E77" s="136"/>
      <c r="F77" s="614"/>
      <c r="G77" s="136"/>
      <c r="H77" s="136"/>
      <c r="I77" s="136"/>
      <c r="J77" s="136"/>
      <c r="L77" s="149"/>
      <c r="M77" s="149"/>
    </row>
    <row r="80" ht="15">
      <c r="B80" s="263"/>
    </row>
    <row r="81" spans="2:11" ht="12.75">
      <c r="B81" s="149"/>
      <c r="C81" s="149"/>
      <c r="D81" s="149"/>
      <c r="E81" s="149"/>
      <c r="F81" s="149"/>
      <c r="G81" s="149"/>
      <c r="H81" s="149"/>
      <c r="I81" s="149"/>
      <c r="J81" s="149"/>
      <c r="K81" s="149"/>
    </row>
    <row r="82" spans="2:11" ht="12.75">
      <c r="B82" s="149"/>
      <c r="C82" s="149"/>
      <c r="D82" s="149"/>
      <c r="E82" s="149"/>
      <c r="F82" s="149"/>
      <c r="G82" s="149"/>
      <c r="H82" s="149"/>
      <c r="I82" s="149"/>
      <c r="J82" s="149"/>
      <c r="K82" s="149"/>
    </row>
    <row r="83" spans="2:11" ht="18" customHeight="1">
      <c r="B83" s="149"/>
      <c r="C83" s="149"/>
      <c r="D83" s="149"/>
      <c r="E83" s="149"/>
      <c r="F83" s="149"/>
      <c r="G83" s="149"/>
      <c r="H83" s="149"/>
      <c r="I83" s="149"/>
      <c r="J83" s="149"/>
      <c r="K83" s="149"/>
    </row>
    <row r="84" spans="2:11" ht="13.5" customHeight="1">
      <c r="B84" s="149"/>
      <c r="C84" s="149"/>
      <c r="D84" s="149"/>
      <c r="E84" s="149"/>
      <c r="F84" s="149"/>
      <c r="G84" s="149"/>
      <c r="H84" s="149"/>
      <c r="I84" s="149"/>
      <c r="J84" s="149"/>
      <c r="K84" s="149"/>
    </row>
    <row r="85" spans="2:11" s="151" customFormat="1" ht="12.75">
      <c r="B85" s="149"/>
      <c r="C85" s="149"/>
      <c r="D85" s="149"/>
      <c r="E85" s="149"/>
      <c r="F85" s="149"/>
      <c r="G85" s="149"/>
      <c r="H85" s="149"/>
      <c r="I85" s="149"/>
      <c r="J85" s="149"/>
      <c r="K85" s="149"/>
    </row>
    <row r="86" spans="1:11" ht="15.75">
      <c r="A86" s="152"/>
      <c r="B86" s="149"/>
      <c r="C86" s="149"/>
      <c r="D86" s="149"/>
      <c r="E86" s="149"/>
      <c r="F86" s="149"/>
      <c r="G86" s="149"/>
      <c r="H86" s="149"/>
      <c r="I86" s="149"/>
      <c r="J86" s="149"/>
      <c r="K86" s="149"/>
    </row>
    <row r="87" spans="1:11" ht="15.75">
      <c r="A87" s="70"/>
      <c r="B87" s="149"/>
      <c r="C87" s="149"/>
      <c r="D87" s="149"/>
      <c r="E87" s="149"/>
      <c r="F87" s="149"/>
      <c r="G87" s="149"/>
      <c r="H87" s="149"/>
      <c r="I87" s="149"/>
      <c r="J87" s="149"/>
      <c r="K87" s="149"/>
    </row>
    <row r="88" spans="1:11" ht="15.75">
      <c r="A88" s="70"/>
      <c r="B88" s="149"/>
      <c r="C88" s="149"/>
      <c r="D88" s="149"/>
      <c r="E88" s="149"/>
      <c r="F88" s="149"/>
      <c r="G88" s="149"/>
      <c r="H88" s="149"/>
      <c r="I88" s="149"/>
      <c r="J88" s="149"/>
      <c r="K88" s="149"/>
    </row>
    <row r="89" spans="1:12" ht="15.75" customHeight="1">
      <c r="A89" s="82"/>
      <c r="B89" s="149"/>
      <c r="C89" s="149"/>
      <c r="D89" s="149"/>
      <c r="E89" s="149"/>
      <c r="F89" s="149"/>
      <c r="G89" s="149"/>
      <c r="H89" s="149"/>
      <c r="I89" s="149"/>
      <c r="J89" s="149"/>
      <c r="K89" s="149"/>
      <c r="L89" s="145"/>
    </row>
    <row r="90" spans="1:11" ht="16.5" customHeight="1">
      <c r="A90" s="82"/>
      <c r="B90" s="149"/>
      <c r="C90" s="149"/>
      <c r="D90" s="149"/>
      <c r="E90" s="149"/>
      <c r="F90" s="149"/>
      <c r="G90" s="149"/>
      <c r="H90" s="149"/>
      <c r="I90" s="149"/>
      <c r="J90" s="149"/>
      <c r="K90" s="149"/>
    </row>
    <row r="91" spans="1:11" ht="15.75">
      <c r="A91" s="70"/>
      <c r="B91" s="149"/>
      <c r="C91" s="149"/>
      <c r="D91" s="149"/>
      <c r="E91" s="149"/>
      <c r="F91" s="149"/>
      <c r="G91" s="149"/>
      <c r="H91" s="149"/>
      <c r="I91" s="149"/>
      <c r="J91" s="149"/>
      <c r="K91" s="149"/>
    </row>
    <row r="92" spans="1:11" ht="15">
      <c r="A92" s="153"/>
      <c r="B92" s="149"/>
      <c r="C92" s="149"/>
      <c r="D92" s="149"/>
      <c r="E92" s="149"/>
      <c r="F92" s="149"/>
      <c r="G92" s="149"/>
      <c r="H92" s="149"/>
      <c r="I92" s="149"/>
      <c r="J92" s="149"/>
      <c r="K92" s="149"/>
    </row>
    <row r="93" spans="1:11" ht="15">
      <c r="A93" s="153"/>
      <c r="B93" s="149"/>
      <c r="C93" s="149"/>
      <c r="D93" s="149"/>
      <c r="E93" s="149"/>
      <c r="F93" s="149"/>
      <c r="G93" s="149"/>
      <c r="H93" s="149"/>
      <c r="I93" s="149"/>
      <c r="J93" s="149"/>
      <c r="K93" s="149"/>
    </row>
    <row r="94" spans="1:11" ht="15">
      <c r="A94" s="153"/>
      <c r="B94" s="149"/>
      <c r="C94" s="149"/>
      <c r="D94" s="149"/>
      <c r="E94" s="149"/>
      <c r="F94" s="149"/>
      <c r="G94" s="149"/>
      <c r="H94" s="149"/>
      <c r="I94" s="149"/>
      <c r="J94" s="149"/>
      <c r="K94" s="149"/>
    </row>
    <row r="95" spans="1:11" ht="15">
      <c r="A95" s="153"/>
      <c r="B95" s="149"/>
      <c r="C95" s="149"/>
      <c r="D95" s="149"/>
      <c r="E95" s="149"/>
      <c r="F95" s="149"/>
      <c r="G95" s="149"/>
      <c r="H95" s="149"/>
      <c r="I95" s="149"/>
      <c r="J95" s="149"/>
      <c r="K95" s="149"/>
    </row>
    <row r="96" spans="1:11" ht="15.75" customHeight="1">
      <c r="A96" s="153"/>
      <c r="B96" s="149"/>
      <c r="C96" s="149"/>
      <c r="D96" s="149"/>
      <c r="E96" s="149"/>
      <c r="F96" s="149"/>
      <c r="G96" s="149"/>
      <c r="H96" s="149"/>
      <c r="I96" s="149"/>
      <c r="J96" s="149"/>
      <c r="K96" s="149"/>
    </row>
    <row r="97" spans="1:11" ht="15">
      <c r="A97" s="153"/>
      <c r="B97" s="149"/>
      <c r="C97" s="149"/>
      <c r="D97" s="149"/>
      <c r="E97" s="149"/>
      <c r="F97" s="149"/>
      <c r="G97" s="149"/>
      <c r="H97" s="149"/>
      <c r="I97" s="149"/>
      <c r="J97" s="149"/>
      <c r="K97" s="149"/>
    </row>
    <row r="98" spans="1:11" ht="15">
      <c r="A98" s="153"/>
      <c r="B98" s="149"/>
      <c r="C98" s="149"/>
      <c r="D98" s="149"/>
      <c r="E98" s="149"/>
      <c r="F98" s="149"/>
      <c r="G98" s="149"/>
      <c r="H98" s="149"/>
      <c r="I98" s="149"/>
      <c r="J98" s="149"/>
      <c r="K98" s="149"/>
    </row>
    <row r="99" spans="1:11" ht="15">
      <c r="A99" s="153"/>
      <c r="B99" s="149"/>
      <c r="C99" s="149"/>
      <c r="D99" s="149"/>
      <c r="E99" s="149"/>
      <c r="F99" s="149"/>
      <c r="G99" s="149"/>
      <c r="H99" s="149"/>
      <c r="I99" s="149"/>
      <c r="J99" s="149"/>
      <c r="K99" s="149"/>
    </row>
    <row r="100" spans="1:11" ht="15">
      <c r="A100" s="153"/>
      <c r="B100" s="149"/>
      <c r="C100" s="149"/>
      <c r="D100" s="149"/>
      <c r="E100" s="149"/>
      <c r="F100" s="149"/>
      <c r="G100" s="149"/>
      <c r="H100" s="149"/>
      <c r="I100" s="149"/>
      <c r="J100" s="149"/>
      <c r="K100" s="149"/>
    </row>
    <row r="101" spans="1:11" ht="15">
      <c r="A101" s="87"/>
      <c r="B101" s="149"/>
      <c r="C101" s="149"/>
      <c r="D101" s="149"/>
      <c r="E101" s="149"/>
      <c r="F101" s="149"/>
      <c r="G101" s="149"/>
      <c r="H101" s="149"/>
      <c r="I101" s="149"/>
      <c r="J101" s="149"/>
      <c r="K101" s="149"/>
    </row>
    <row r="102" spans="1:11" ht="15">
      <c r="A102" s="87"/>
      <c r="B102" s="149"/>
      <c r="C102" s="149"/>
      <c r="D102" s="149"/>
      <c r="E102" s="149"/>
      <c r="F102" s="149"/>
      <c r="G102" s="149"/>
      <c r="H102" s="149"/>
      <c r="I102" s="149"/>
      <c r="J102" s="149"/>
      <c r="K102" s="149"/>
    </row>
    <row r="103" spans="1:11" ht="15">
      <c r="A103" s="154"/>
      <c r="B103" s="149"/>
      <c r="C103" s="149"/>
      <c r="D103" s="149"/>
      <c r="E103" s="149"/>
      <c r="F103" s="149"/>
      <c r="G103" s="149"/>
      <c r="H103" s="149"/>
      <c r="I103" s="149"/>
      <c r="J103" s="149"/>
      <c r="K103" s="149"/>
    </row>
    <row r="104" spans="1:11" ht="15">
      <c r="A104" s="154"/>
      <c r="B104" s="149"/>
      <c r="C104" s="149"/>
      <c r="D104" s="149"/>
      <c r="E104" s="149"/>
      <c r="F104" s="149"/>
      <c r="G104" s="149"/>
      <c r="H104" s="149"/>
      <c r="I104" s="149"/>
      <c r="J104" s="149"/>
      <c r="K104" s="149"/>
    </row>
    <row r="105" spans="1:11" ht="15">
      <c r="A105" s="154"/>
      <c r="B105" s="149"/>
      <c r="C105" s="149"/>
      <c r="D105" s="149"/>
      <c r="E105" s="149"/>
      <c r="F105" s="149"/>
      <c r="G105" s="149"/>
      <c r="H105" s="149"/>
      <c r="I105" s="149"/>
      <c r="J105" s="149"/>
      <c r="K105" s="149"/>
    </row>
    <row r="106" spans="1:11" ht="15">
      <c r="A106" s="154"/>
      <c r="B106" s="149"/>
      <c r="C106" s="149"/>
      <c r="D106" s="149"/>
      <c r="E106" s="149"/>
      <c r="F106" s="149"/>
      <c r="G106" s="149"/>
      <c r="H106" s="149"/>
      <c r="I106" s="149"/>
      <c r="J106" s="149"/>
      <c r="K106" s="149"/>
    </row>
    <row r="107" spans="1:11" ht="15.75" customHeight="1">
      <c r="A107" s="90"/>
      <c r="B107" s="149"/>
      <c r="C107" s="149"/>
      <c r="D107" s="149"/>
      <c r="E107" s="149"/>
      <c r="F107" s="149"/>
      <c r="G107" s="149"/>
      <c r="H107" s="149"/>
      <c r="I107" s="149"/>
      <c r="J107" s="149"/>
      <c r="K107" s="149"/>
    </row>
    <row r="108" spans="1:11" ht="15" customHeight="1">
      <c r="A108" s="1481"/>
      <c r="B108" s="149"/>
      <c r="C108" s="149"/>
      <c r="D108" s="149"/>
      <c r="E108" s="149"/>
      <c r="F108" s="149"/>
      <c r="G108" s="149"/>
      <c r="H108" s="149"/>
      <c r="I108" s="149"/>
      <c r="J108" s="149"/>
      <c r="K108" s="149"/>
    </row>
    <row r="109" spans="1:11" ht="15" customHeight="1">
      <c r="A109" s="1481"/>
      <c r="B109" s="149"/>
      <c r="C109" s="149"/>
      <c r="D109" s="149"/>
      <c r="E109" s="149"/>
      <c r="F109" s="149"/>
      <c r="G109" s="149"/>
      <c r="H109" s="149"/>
      <c r="I109" s="149"/>
      <c r="J109" s="149"/>
      <c r="K109" s="149"/>
    </row>
    <row r="110" spans="1:11" ht="15" customHeight="1">
      <c r="A110" s="1481"/>
      <c r="B110" s="149"/>
      <c r="C110" s="149"/>
      <c r="D110" s="149"/>
      <c r="E110" s="149"/>
      <c r="F110" s="149"/>
      <c r="G110" s="149"/>
      <c r="H110" s="149"/>
      <c r="I110" s="149"/>
      <c r="J110" s="149"/>
      <c r="K110" s="149"/>
    </row>
    <row r="111" spans="1:11" ht="15" customHeight="1">
      <c r="A111" s="1481"/>
      <c r="B111" s="149"/>
      <c r="C111" s="149"/>
      <c r="D111" s="149"/>
      <c r="E111" s="149"/>
      <c r="F111" s="149"/>
      <c r="G111" s="149"/>
      <c r="H111" s="149"/>
      <c r="I111" s="149"/>
      <c r="J111" s="149"/>
      <c r="K111" s="149"/>
    </row>
    <row r="112" spans="1:11" ht="15" customHeight="1">
      <c r="A112" s="1481"/>
      <c r="B112" s="149"/>
      <c r="C112" s="149"/>
      <c r="D112" s="149"/>
      <c r="E112" s="149"/>
      <c r="F112" s="149"/>
      <c r="G112" s="149"/>
      <c r="H112" s="149"/>
      <c r="I112" s="149"/>
      <c r="J112" s="149"/>
      <c r="K112" s="149"/>
    </row>
    <row r="113" spans="1:11" ht="15">
      <c r="A113" s="85"/>
      <c r="B113" s="149"/>
      <c r="C113" s="149"/>
      <c r="D113" s="149"/>
      <c r="E113" s="149"/>
      <c r="F113" s="149"/>
      <c r="G113" s="149"/>
      <c r="H113" s="149"/>
      <c r="I113" s="149"/>
      <c r="J113" s="149"/>
      <c r="K113" s="149"/>
    </row>
    <row r="114" spans="1:11" ht="15">
      <c r="A114" s="85"/>
      <c r="B114" s="149"/>
      <c r="C114" s="149"/>
      <c r="D114" s="149"/>
      <c r="E114" s="149"/>
      <c r="F114" s="149"/>
      <c r="G114" s="149"/>
      <c r="H114" s="149"/>
      <c r="I114" s="149"/>
      <c r="J114" s="149"/>
      <c r="K114" s="149"/>
    </row>
    <row r="115" spans="1:11" ht="15.75" customHeight="1">
      <c r="A115" s="85"/>
      <c r="B115" s="149"/>
      <c r="C115" s="149"/>
      <c r="D115" s="149"/>
      <c r="E115" s="149"/>
      <c r="F115" s="149"/>
      <c r="G115" s="149"/>
      <c r="H115" s="149"/>
      <c r="I115" s="149"/>
      <c r="J115" s="149"/>
      <c r="K115" s="149"/>
    </row>
    <row r="116" spans="1:11" ht="15">
      <c r="A116" s="85"/>
      <c r="B116" s="149"/>
      <c r="C116" s="149"/>
      <c r="D116" s="149"/>
      <c r="E116" s="149"/>
      <c r="F116" s="149"/>
      <c r="G116" s="149"/>
      <c r="H116" s="149"/>
      <c r="I116" s="149"/>
      <c r="J116" s="149"/>
      <c r="K116" s="149"/>
    </row>
    <row r="117" spans="1:11" ht="15.75" customHeight="1">
      <c r="A117" s="85"/>
      <c r="B117" s="149"/>
      <c r="C117" s="149"/>
      <c r="D117" s="149"/>
      <c r="E117" s="149"/>
      <c r="F117" s="149"/>
      <c r="G117" s="149"/>
      <c r="H117" s="149"/>
      <c r="I117" s="149"/>
      <c r="J117" s="149"/>
      <c r="K117" s="149"/>
    </row>
    <row r="118" spans="1:11" ht="30.75" customHeight="1">
      <c r="A118" s="155"/>
      <c r="B118" s="149"/>
      <c r="C118" s="149"/>
      <c r="D118" s="149"/>
      <c r="E118" s="149"/>
      <c r="F118" s="149"/>
      <c r="G118" s="149"/>
      <c r="H118" s="149"/>
      <c r="I118" s="149"/>
      <c r="J118" s="149"/>
      <c r="K118" s="149"/>
    </row>
    <row r="119" spans="1:11" ht="15">
      <c r="A119" s="68"/>
      <c r="B119" s="149"/>
      <c r="C119" s="149"/>
      <c r="D119" s="149"/>
      <c r="E119" s="149"/>
      <c r="F119" s="149"/>
      <c r="G119" s="149"/>
      <c r="H119" s="149"/>
      <c r="I119" s="149"/>
      <c r="J119" s="149"/>
      <c r="K119" s="149"/>
    </row>
    <row r="120" spans="1:11" ht="15">
      <c r="A120" s="68"/>
      <c r="B120" s="149"/>
      <c r="C120" s="149"/>
      <c r="D120" s="149"/>
      <c r="E120" s="149"/>
      <c r="F120" s="149"/>
      <c r="G120" s="149"/>
      <c r="H120" s="149"/>
      <c r="I120" s="149"/>
      <c r="J120" s="149"/>
      <c r="K120" s="149"/>
    </row>
  </sheetData>
  <sheetProtection/>
  <mergeCells count="15">
    <mergeCell ref="A108:A112"/>
    <mergeCell ref="C7:C9"/>
    <mergeCell ref="B7:B9"/>
    <mergeCell ref="A7:A9"/>
    <mergeCell ref="B75:E75"/>
    <mergeCell ref="B44:F44"/>
    <mergeCell ref="B43:F43"/>
    <mergeCell ref="B1:E1"/>
    <mergeCell ref="G7:H7"/>
    <mergeCell ref="I7:J7"/>
    <mergeCell ref="F7:F9"/>
    <mergeCell ref="E7:E9"/>
    <mergeCell ref="D7:D9"/>
    <mergeCell ref="G6:H6"/>
    <mergeCell ref="B3:J3"/>
  </mergeCells>
  <printOptions horizontalCentered="1"/>
  <pageMargins left="0.63" right="0.15" top="0.7" bottom="0.24" header="0.5" footer="0.16"/>
  <pageSetup horizontalDpi="600" verticalDpi="600" orientation="landscape" paperSize="9" scale="98" r:id="rId4"/>
  <ignoredErrors>
    <ignoredError sqref="E24" formula="1"/>
  </ignoredErrors>
  <drawing r:id="rId3"/>
  <legacyDrawing r:id="rId2"/>
</worksheet>
</file>

<file path=xl/worksheets/sheet12.xml><?xml version="1.0" encoding="utf-8"?>
<worksheet xmlns="http://schemas.openxmlformats.org/spreadsheetml/2006/main" xmlns:r="http://schemas.openxmlformats.org/officeDocument/2006/relationships">
  <sheetPr>
    <tabColor indexed="15"/>
  </sheetPr>
  <dimension ref="A1:M45"/>
  <sheetViews>
    <sheetView zoomScalePageLayoutView="0" workbookViewId="0" topLeftCell="A1">
      <pane xSplit="2" ySplit="8" topLeftCell="C21" activePane="bottomRight" state="frozen"/>
      <selection pane="topLeft" activeCell="A1" sqref="A1"/>
      <selection pane="topRight" activeCell="C1" sqref="C1"/>
      <selection pane="bottomLeft" activeCell="A9" sqref="A9"/>
      <selection pane="bottomRight" activeCell="I14" sqref="I14"/>
    </sheetView>
  </sheetViews>
  <sheetFormatPr defaultColWidth="9.140625" defaultRowHeight="12.75"/>
  <cols>
    <col min="1" max="1" width="5.57421875" style="79" customWidth="1"/>
    <col min="2" max="2" width="50.8515625" style="2" customWidth="1"/>
    <col min="3" max="3" width="12.7109375" style="2" customWidth="1"/>
    <col min="4" max="4" width="6.00390625" style="2" customWidth="1"/>
    <col min="5" max="5" width="9.57421875" style="2" bestFit="1" customWidth="1"/>
    <col min="6" max="6" width="5.57421875" style="2" bestFit="1" customWidth="1"/>
    <col min="7" max="7" width="11.7109375" style="2" customWidth="1"/>
    <col min="8" max="8" width="14.00390625" style="2" customWidth="1"/>
    <col min="9" max="9" width="23.8515625" style="2" customWidth="1"/>
    <col min="10" max="10" width="11.140625" style="2" bestFit="1" customWidth="1"/>
    <col min="11" max="11" width="9.140625" style="2" customWidth="1"/>
    <col min="12" max="12" width="15.421875" style="2" customWidth="1"/>
    <col min="13" max="16384" width="9.140625" style="2" customWidth="1"/>
  </cols>
  <sheetData>
    <row r="1" spans="2:13" ht="20.25">
      <c r="B1" s="1400" t="s">
        <v>688</v>
      </c>
      <c r="C1" s="1400"/>
      <c r="D1" s="1400"/>
      <c r="E1" s="1400"/>
      <c r="F1" s="31"/>
      <c r="G1" s="31"/>
      <c r="H1" s="31"/>
      <c r="I1" s="156"/>
      <c r="J1" s="156"/>
      <c r="K1" s="156"/>
      <c r="L1" s="156"/>
      <c r="M1" s="156"/>
    </row>
    <row r="2" spans="1:13" ht="11.25" customHeight="1">
      <c r="A2" s="32"/>
      <c r="B2" s="32"/>
      <c r="C2" s="32"/>
      <c r="D2" s="32"/>
      <c r="E2" s="32"/>
      <c r="F2" s="32"/>
      <c r="G2" s="32"/>
      <c r="H2" s="32"/>
      <c r="I2" s="156"/>
      <c r="J2" s="156"/>
      <c r="K2" s="156"/>
      <c r="L2" s="156"/>
      <c r="M2" s="156"/>
    </row>
    <row r="3" spans="2:13" ht="50.25" customHeight="1">
      <c r="B3" s="1415" t="s">
        <v>1600</v>
      </c>
      <c r="C3" s="1415"/>
      <c r="D3" s="1415"/>
      <c r="E3" s="1415"/>
      <c r="F3" s="1415"/>
      <c r="G3" s="517"/>
      <c r="H3" s="33"/>
      <c r="I3" s="156"/>
      <c r="J3" s="156"/>
      <c r="K3" s="156"/>
      <c r="L3" s="156"/>
      <c r="M3" s="156"/>
    </row>
    <row r="4" spans="1:13" ht="12" customHeight="1">
      <c r="A4" s="212"/>
      <c r="B4" s="212"/>
      <c r="C4" s="212"/>
      <c r="D4" s="212"/>
      <c r="E4" s="212"/>
      <c r="F4" s="212"/>
      <c r="G4" s="212"/>
      <c r="H4" s="212"/>
      <c r="I4" s="156"/>
      <c r="J4" s="156"/>
      <c r="K4" s="156"/>
      <c r="L4" s="156"/>
      <c r="M4" s="156"/>
    </row>
    <row r="5" spans="1:13" ht="15.75">
      <c r="A5" s="34"/>
      <c r="B5" s="34"/>
      <c r="C5" s="34"/>
      <c r="D5" s="34"/>
      <c r="E5" s="34"/>
      <c r="F5" s="34"/>
      <c r="G5" s="438" t="s">
        <v>244</v>
      </c>
      <c r="H5" s="34"/>
      <c r="I5" s="156"/>
      <c r="J5" s="156"/>
      <c r="K5" s="156"/>
      <c r="L5" s="156"/>
      <c r="M5" s="156"/>
    </row>
    <row r="6" spans="1:13" ht="10.5" customHeight="1">
      <c r="A6" s="176"/>
      <c r="B6" s="37"/>
      <c r="C6" s="37"/>
      <c r="D6" s="37"/>
      <c r="E6" s="37"/>
      <c r="F6" s="37"/>
      <c r="G6" s="37"/>
      <c r="H6" s="37"/>
      <c r="I6" s="156"/>
      <c r="J6" s="156"/>
      <c r="K6" s="156"/>
      <c r="L6" s="156"/>
      <c r="M6" s="156"/>
    </row>
    <row r="7" spans="1:13" ht="31.5" customHeight="1">
      <c r="A7" s="30" t="s">
        <v>2104</v>
      </c>
      <c r="B7" s="35" t="s">
        <v>79</v>
      </c>
      <c r="C7" s="30" t="s">
        <v>595</v>
      </c>
      <c r="D7" s="167" t="s">
        <v>80</v>
      </c>
      <c r="E7" s="167" t="s">
        <v>1326</v>
      </c>
      <c r="F7" s="167" t="s">
        <v>1067</v>
      </c>
      <c r="G7" s="167" t="s">
        <v>1327</v>
      </c>
      <c r="H7" s="36"/>
      <c r="I7" s="156"/>
      <c r="J7" s="156"/>
      <c r="K7" s="156"/>
      <c r="L7" s="156"/>
      <c r="M7" s="156"/>
    </row>
    <row r="8" spans="1:13" ht="15" customHeight="1">
      <c r="A8" s="83">
        <v>1</v>
      </c>
      <c r="B8" s="83">
        <v>2</v>
      </c>
      <c r="C8" s="168">
        <v>3</v>
      </c>
      <c r="D8" s="83">
        <v>4</v>
      </c>
      <c r="E8" s="83">
        <v>5</v>
      </c>
      <c r="F8" s="83">
        <v>6</v>
      </c>
      <c r="G8" s="83">
        <v>7</v>
      </c>
      <c r="H8" s="157"/>
      <c r="I8" s="158"/>
      <c r="J8" s="158"/>
      <c r="K8" s="156"/>
      <c r="L8" s="156"/>
      <c r="M8" s="156"/>
    </row>
    <row r="9" spans="1:13" ht="17.25" customHeight="1">
      <c r="A9" s="472">
        <v>1</v>
      </c>
      <c r="B9" s="922" t="s">
        <v>1741</v>
      </c>
      <c r="C9" s="942"/>
      <c r="D9" s="943"/>
      <c r="E9" s="944"/>
      <c r="F9" s="944"/>
      <c r="G9" s="945"/>
      <c r="H9" s="159"/>
      <c r="I9" s="159"/>
      <c r="J9" s="159"/>
      <c r="K9" s="156"/>
      <c r="L9" s="156"/>
      <c r="M9" s="156"/>
    </row>
    <row r="10" spans="1:13" ht="16.5" customHeight="1">
      <c r="A10" s="946" t="s">
        <v>71</v>
      </c>
      <c r="B10" s="613" t="s">
        <v>72</v>
      </c>
      <c r="C10" s="947">
        <v>7130640030</v>
      </c>
      <c r="D10" s="472" t="s">
        <v>1611</v>
      </c>
      <c r="E10" s="852">
        <f>VLOOKUP(C10,'SOR RATE'!A:D,4,0)</f>
        <v>3857</v>
      </c>
      <c r="F10" s="472"/>
      <c r="G10" s="852"/>
      <c r="H10" s="157"/>
      <c r="I10" s="158"/>
      <c r="J10" s="158"/>
      <c r="K10" s="156"/>
      <c r="L10" s="156"/>
      <c r="M10" s="156"/>
    </row>
    <row r="11" spans="1:13" ht="16.5" customHeight="1">
      <c r="A11" s="946" t="s">
        <v>1578</v>
      </c>
      <c r="B11" s="613" t="s">
        <v>73</v>
      </c>
      <c r="C11" s="947">
        <v>7130640036</v>
      </c>
      <c r="D11" s="472" t="s">
        <v>1611</v>
      </c>
      <c r="E11" s="852">
        <f>VLOOKUP(C11,'SOR RATE'!A:D,4,0)</f>
        <v>7661</v>
      </c>
      <c r="F11" s="472">
        <v>50</v>
      </c>
      <c r="G11" s="852">
        <f>F11*E11</f>
        <v>383050</v>
      </c>
      <c r="H11" s="157"/>
      <c r="I11" s="158"/>
      <c r="J11" s="158"/>
      <c r="K11" s="156"/>
      <c r="L11" s="156"/>
      <c r="M11" s="156"/>
    </row>
    <row r="12" spans="1:13" ht="16.5" customHeight="1">
      <c r="A12" s="472">
        <v>2</v>
      </c>
      <c r="B12" s="850" t="s">
        <v>1602</v>
      </c>
      <c r="C12" s="924">
        <v>7130310075</v>
      </c>
      <c r="D12" s="472" t="s">
        <v>1721</v>
      </c>
      <c r="E12" s="852">
        <f>VLOOKUP(C12,'SOR RATE'!A:D,4,0)/1000</f>
        <v>1891.074</v>
      </c>
      <c r="F12" s="472">
        <v>50</v>
      </c>
      <c r="G12" s="852">
        <f aca="true" t="shared" si="0" ref="G12:G17">F12*E12</f>
        <v>94553.7</v>
      </c>
      <c r="H12" s="160"/>
      <c r="I12" s="160"/>
      <c r="J12" s="101"/>
      <c r="K12" s="101"/>
      <c r="L12" s="101"/>
      <c r="M12" s="156"/>
    </row>
    <row r="13" spans="1:13" ht="17.25" customHeight="1">
      <c r="A13" s="472">
        <v>3</v>
      </c>
      <c r="B13" s="613" t="s">
        <v>1161</v>
      </c>
      <c r="C13" s="947">
        <v>7130352037</v>
      </c>
      <c r="D13" s="472" t="s">
        <v>1330</v>
      </c>
      <c r="E13" s="852">
        <f>VLOOKUP(C13,'SOR RATE'!A:D,4,0)</f>
        <v>21050</v>
      </c>
      <c r="F13" s="472">
        <v>2</v>
      </c>
      <c r="G13" s="852">
        <f t="shared" si="0"/>
        <v>42100</v>
      </c>
      <c r="H13" s="161"/>
      <c r="I13" s="161"/>
      <c r="J13" s="157"/>
      <c r="K13" s="156"/>
      <c r="L13" s="156"/>
      <c r="M13" s="156"/>
    </row>
    <row r="14" spans="1:13" ht="30" customHeight="1">
      <c r="A14" s="472">
        <v>4</v>
      </c>
      <c r="B14" s="613" t="s">
        <v>2102</v>
      </c>
      <c r="C14" s="947"/>
      <c r="D14" s="472" t="s">
        <v>83</v>
      </c>
      <c r="E14" s="852">
        <f>1.1*450</f>
        <v>495.00000000000006</v>
      </c>
      <c r="F14" s="472">
        <v>40</v>
      </c>
      <c r="G14" s="852">
        <f t="shared" si="0"/>
        <v>19800.000000000004</v>
      </c>
      <c r="H14" s="157"/>
      <c r="I14" s="158"/>
      <c r="J14" s="158"/>
      <c r="K14" s="156"/>
      <c r="L14" s="156"/>
      <c r="M14" s="156"/>
    </row>
    <row r="15" spans="1:13" ht="17.25" customHeight="1">
      <c r="A15" s="948">
        <v>5</v>
      </c>
      <c r="B15" s="613" t="s">
        <v>206</v>
      </c>
      <c r="C15" s="947">
        <v>7130640027</v>
      </c>
      <c r="D15" s="472" t="s">
        <v>1740</v>
      </c>
      <c r="E15" s="852">
        <f>VLOOKUP(C15,'SOR RATE'!A:D,4,0)</f>
        <v>929</v>
      </c>
      <c r="F15" s="472">
        <v>12</v>
      </c>
      <c r="G15" s="852">
        <f t="shared" si="0"/>
        <v>11148</v>
      </c>
      <c r="H15" s="145"/>
      <c r="I15" s="158"/>
      <c r="J15" s="158"/>
      <c r="K15" s="156"/>
      <c r="L15" s="156"/>
      <c r="M15" s="156"/>
    </row>
    <row r="16" spans="1:13" ht="15" customHeight="1">
      <c r="A16" s="948">
        <v>6</v>
      </c>
      <c r="B16" s="613" t="s">
        <v>1533</v>
      </c>
      <c r="C16" s="947">
        <v>7130640028</v>
      </c>
      <c r="D16" s="949" t="s">
        <v>83</v>
      </c>
      <c r="E16" s="852">
        <f>VLOOKUP(C16,'SOR RATE'!A:D,4,0)</f>
        <v>805</v>
      </c>
      <c r="F16" s="949">
        <v>2</v>
      </c>
      <c r="G16" s="950">
        <f t="shared" si="0"/>
        <v>1610</v>
      </c>
      <c r="H16" s="36"/>
      <c r="I16" s="156"/>
      <c r="J16" s="156"/>
      <c r="K16" s="156"/>
      <c r="L16" s="156"/>
      <c r="M16" s="156"/>
    </row>
    <row r="17" spans="1:13" ht="30.75" customHeight="1">
      <c r="A17" s="948">
        <v>7</v>
      </c>
      <c r="B17" s="613" t="s">
        <v>2103</v>
      </c>
      <c r="C17" s="613"/>
      <c r="D17" s="472" t="s">
        <v>1571</v>
      </c>
      <c r="E17" s="852">
        <v>3220</v>
      </c>
      <c r="F17" s="472">
        <v>2</v>
      </c>
      <c r="G17" s="852">
        <f t="shared" si="0"/>
        <v>6440</v>
      </c>
      <c r="H17" s="36"/>
      <c r="I17" s="156"/>
      <c r="J17" s="156"/>
      <c r="K17" s="156"/>
      <c r="L17" s="156"/>
      <c r="M17" s="156"/>
    </row>
    <row r="18" spans="1:13" ht="16.5" customHeight="1">
      <c r="A18" s="948">
        <v>8</v>
      </c>
      <c r="B18" s="613" t="s">
        <v>75</v>
      </c>
      <c r="C18" s="613"/>
      <c r="D18" s="472" t="s">
        <v>64</v>
      </c>
      <c r="E18" s="852" t="s">
        <v>64</v>
      </c>
      <c r="F18" s="472" t="s">
        <v>64</v>
      </c>
      <c r="G18" s="852">
        <f>1.1*2000</f>
        <v>2200</v>
      </c>
      <c r="H18" s="36"/>
      <c r="I18" s="156"/>
      <c r="J18" s="156"/>
      <c r="K18" s="156"/>
      <c r="L18" s="156"/>
      <c r="M18" s="156"/>
    </row>
    <row r="19" spans="1:13" ht="15.75" customHeight="1">
      <c r="A19" s="929">
        <v>9</v>
      </c>
      <c r="B19" s="858" t="s">
        <v>1052</v>
      </c>
      <c r="C19" s="951"/>
      <c r="D19" s="929"/>
      <c r="E19" s="929"/>
      <c r="F19" s="929"/>
      <c r="G19" s="932">
        <f>SUM(G10:G18)</f>
        <v>560901.7000000001</v>
      </c>
      <c r="H19" s="202"/>
      <c r="I19" s="117"/>
      <c r="J19" s="194"/>
      <c r="K19" s="156"/>
      <c r="L19" s="156"/>
      <c r="M19" s="156"/>
    </row>
    <row r="20" spans="1:13" ht="18" customHeight="1">
      <c r="A20" s="952">
        <v>10</v>
      </c>
      <c r="B20" s="223" t="s">
        <v>1051</v>
      </c>
      <c r="C20" s="953"/>
      <c r="D20" s="954"/>
      <c r="E20" s="938">
        <v>0.09</v>
      </c>
      <c r="F20" s="938"/>
      <c r="G20" s="955">
        <f>G19*E20</f>
        <v>50481.153000000006</v>
      </c>
      <c r="H20" s="202"/>
      <c r="I20" s="195"/>
      <c r="J20" s="195"/>
      <c r="K20" s="156"/>
      <c r="L20" s="156"/>
      <c r="M20" s="156"/>
    </row>
    <row r="21" spans="1:13" ht="32.25" customHeight="1">
      <c r="A21" s="848">
        <v>11</v>
      </c>
      <c r="B21" s="922" t="s">
        <v>689</v>
      </c>
      <c r="C21" s="937"/>
      <c r="D21" s="938"/>
      <c r="E21" s="938"/>
      <c r="F21" s="938"/>
      <c r="G21" s="849">
        <f>195993.13/20</f>
        <v>9799.656500000001</v>
      </c>
      <c r="H21" s="118"/>
      <c r="I21" s="190"/>
      <c r="J21" s="156"/>
      <c r="K21" s="156"/>
      <c r="L21" s="156"/>
      <c r="M21" s="156"/>
    </row>
    <row r="22" spans="1:13" ht="15" customHeight="1">
      <c r="A22" s="857">
        <v>12</v>
      </c>
      <c r="B22" s="858" t="s">
        <v>1053</v>
      </c>
      <c r="C22" s="937"/>
      <c r="D22" s="938"/>
      <c r="E22" s="938"/>
      <c r="F22" s="938"/>
      <c r="G22" s="860">
        <f>G19+G20+G21</f>
        <v>621182.5095000002</v>
      </c>
      <c r="H22" s="204"/>
      <c r="I22" s="125"/>
      <c r="J22" s="156"/>
      <c r="K22" s="156"/>
      <c r="L22" s="156"/>
      <c r="M22" s="156"/>
    </row>
    <row r="23" spans="1:13" ht="34.5" customHeight="1">
      <c r="A23" s="848">
        <v>13</v>
      </c>
      <c r="B23" s="223" t="s">
        <v>1054</v>
      </c>
      <c r="C23" s="937"/>
      <c r="D23" s="938"/>
      <c r="E23" s="221">
        <v>0.11</v>
      </c>
      <c r="F23" s="221"/>
      <c r="G23" s="849">
        <f>G19*E23</f>
        <v>61699.187000000005</v>
      </c>
      <c r="H23" s="204"/>
      <c r="I23" s="125"/>
      <c r="J23" s="156"/>
      <c r="K23" s="156"/>
      <c r="L23" s="156"/>
      <c r="M23" s="156"/>
    </row>
    <row r="24" spans="1:13" ht="32.25" customHeight="1">
      <c r="A24" s="635">
        <v>14</v>
      </c>
      <c r="B24" s="922" t="s">
        <v>690</v>
      </c>
      <c r="C24" s="937"/>
      <c r="D24" s="221" t="s">
        <v>64</v>
      </c>
      <c r="E24" s="221"/>
      <c r="F24" s="221"/>
      <c r="G24" s="849">
        <v>112000</v>
      </c>
      <c r="H24" s="36"/>
      <c r="I24" s="156"/>
      <c r="J24" s="156"/>
      <c r="K24" s="156"/>
      <c r="L24" s="156"/>
      <c r="M24" s="156"/>
    </row>
    <row r="25" spans="1:13" ht="20.25" customHeight="1">
      <c r="A25" s="848">
        <v>15</v>
      </c>
      <c r="B25" s="922" t="s">
        <v>77</v>
      </c>
      <c r="C25" s="937"/>
      <c r="D25" s="938"/>
      <c r="E25" s="938"/>
      <c r="F25" s="938"/>
      <c r="G25" s="874">
        <f>G22+G23+G24</f>
        <v>794881.6965000002</v>
      </c>
      <c r="H25" s="36"/>
      <c r="I25" s="156"/>
      <c r="J25" s="156"/>
      <c r="K25" s="156"/>
      <c r="L25" s="156"/>
      <c r="M25" s="156"/>
    </row>
    <row r="26" spans="1:13" ht="21" customHeight="1">
      <c r="A26" s="135">
        <v>16</v>
      </c>
      <c r="B26" s="956" t="s">
        <v>1179</v>
      </c>
      <c r="C26" s="931"/>
      <c r="D26" s="938"/>
      <c r="E26" s="938"/>
      <c r="F26" s="938"/>
      <c r="G26" s="957">
        <f>ROUND(G25,0)</f>
        <v>794882</v>
      </c>
      <c r="H26" s="191"/>
      <c r="I26" s="156"/>
      <c r="J26" s="156"/>
      <c r="K26" s="156"/>
      <c r="L26" s="156"/>
      <c r="M26" s="156"/>
    </row>
    <row r="27" spans="1:13" ht="18" customHeight="1">
      <c r="A27" s="848">
        <v>17</v>
      </c>
      <c r="B27" s="228" t="s">
        <v>691</v>
      </c>
      <c r="C27" s="958"/>
      <c r="D27" s="938"/>
      <c r="E27" s="938"/>
      <c r="F27" s="938"/>
      <c r="G27" s="874">
        <f>1.1*50000*1.1797*1.1402*0.9368*0.87</f>
        <v>60295.019543167204</v>
      </c>
      <c r="H27" s="28"/>
      <c r="I27" s="169"/>
      <c r="J27" s="169"/>
      <c r="K27" s="169"/>
      <c r="L27" s="169"/>
      <c r="M27" s="169"/>
    </row>
    <row r="28" spans="1:13" ht="20.25" customHeight="1">
      <c r="A28" s="848">
        <v>18</v>
      </c>
      <c r="B28" s="922" t="s">
        <v>692</v>
      </c>
      <c r="C28" s="937"/>
      <c r="D28" s="938"/>
      <c r="E28" s="938"/>
      <c r="F28" s="938"/>
      <c r="G28" s="849">
        <f>G26+G27</f>
        <v>855177.0195431672</v>
      </c>
      <c r="H28" s="28"/>
      <c r="I28" s="169"/>
      <c r="J28" s="169"/>
      <c r="K28" s="169"/>
      <c r="L28" s="169"/>
      <c r="M28" s="169"/>
    </row>
    <row r="29" spans="1:13" ht="20.25" customHeight="1">
      <c r="A29" s="959" t="s">
        <v>53</v>
      </c>
      <c r="B29" s="960" t="s">
        <v>52</v>
      </c>
      <c r="C29" s="958"/>
      <c r="D29" s="961"/>
      <c r="E29" s="962"/>
      <c r="F29" s="963"/>
      <c r="G29" s="964">
        <f>ROUND(G28,0)</f>
        <v>855177</v>
      </c>
      <c r="H29" s="204"/>
      <c r="I29" s="125"/>
      <c r="J29" s="169"/>
      <c r="K29" s="169"/>
      <c r="L29" s="169"/>
      <c r="M29" s="169"/>
    </row>
    <row r="38" spans="1:7" ht="15.75">
      <c r="A38" s="177"/>
      <c r="B38" s="70"/>
      <c r="C38" s="145"/>
      <c r="D38" s="145"/>
      <c r="E38" s="145"/>
      <c r="F38" s="145"/>
      <c r="G38" s="145"/>
    </row>
    <row r="39" spans="1:7" ht="12.75">
      <c r="A39" s="177"/>
      <c r="B39" s="145"/>
      <c r="C39" s="145"/>
      <c r="D39" s="145"/>
      <c r="E39" s="145"/>
      <c r="F39" s="145"/>
      <c r="G39" s="145"/>
    </row>
    <row r="40" spans="1:7" ht="14.25">
      <c r="A40" s="164"/>
      <c r="B40" s="162"/>
      <c r="C40" s="162"/>
      <c r="D40" s="161"/>
      <c r="E40" s="161"/>
      <c r="F40" s="161"/>
      <c r="G40" s="161"/>
    </row>
    <row r="41" spans="1:7" ht="14.25">
      <c r="A41" s="164"/>
      <c r="B41" s="163"/>
      <c r="C41" s="163"/>
      <c r="D41" s="164"/>
      <c r="E41" s="165"/>
      <c r="F41" s="164"/>
      <c r="G41" s="165"/>
    </row>
    <row r="42" spans="1:7" ht="15">
      <c r="A42" s="164"/>
      <c r="B42" s="162"/>
      <c r="C42" s="162"/>
      <c r="D42" s="166"/>
      <c r="E42" s="166"/>
      <c r="F42" s="166"/>
      <c r="G42" s="166"/>
    </row>
    <row r="43" spans="1:7" ht="14.25">
      <c r="A43" s="164"/>
      <c r="B43" s="163"/>
      <c r="C43" s="163"/>
      <c r="D43" s="164"/>
      <c r="E43" s="165"/>
      <c r="F43" s="164"/>
      <c r="G43" s="165"/>
    </row>
    <row r="44" spans="1:7" ht="14.25">
      <c r="A44" s="164"/>
      <c r="B44" s="163"/>
      <c r="C44" s="163"/>
      <c r="D44" s="164"/>
      <c r="E44" s="165"/>
      <c r="F44" s="164"/>
      <c r="G44" s="165"/>
    </row>
    <row r="45" spans="1:7" ht="14.25">
      <c r="A45" s="164"/>
      <c r="B45" s="163"/>
      <c r="C45" s="163"/>
      <c r="D45" s="164"/>
      <c r="E45" s="165"/>
      <c r="F45" s="164"/>
      <c r="G45" s="165"/>
    </row>
  </sheetData>
  <sheetProtection/>
  <mergeCells count="2">
    <mergeCell ref="B1:E1"/>
    <mergeCell ref="B3:F3"/>
  </mergeCells>
  <printOptions/>
  <pageMargins left="0.95" right="0.16" top="0.75" bottom="0.3" header="0.39" footer="0.16"/>
  <pageSetup horizontalDpi="600" verticalDpi="600" orientation="landscape" scale="125" r:id="rId1"/>
  <ignoredErrors>
    <ignoredError sqref="A29" numberStoredAsText="1"/>
  </ignoredErrors>
</worksheet>
</file>

<file path=xl/worksheets/sheet13.xml><?xml version="1.0" encoding="utf-8"?>
<worksheet xmlns="http://schemas.openxmlformats.org/spreadsheetml/2006/main" xmlns:r="http://schemas.openxmlformats.org/officeDocument/2006/relationships">
  <sheetPr>
    <tabColor indexed="15"/>
  </sheetPr>
  <dimension ref="A1:N54"/>
  <sheetViews>
    <sheetView zoomScalePageLayoutView="0" workbookViewId="0" topLeftCell="A1">
      <pane xSplit="4" ySplit="7" topLeftCell="E32" activePane="bottomRight" state="frozen"/>
      <selection pane="topLeft" activeCell="A1" sqref="A1"/>
      <selection pane="topRight" activeCell="E1" sqref="E1"/>
      <selection pane="bottomLeft" activeCell="A8" sqref="A8"/>
      <selection pane="bottomRight" activeCell="L34" sqref="L34"/>
    </sheetView>
  </sheetViews>
  <sheetFormatPr defaultColWidth="9.140625" defaultRowHeight="12.75"/>
  <cols>
    <col min="1" max="1" width="4.57421875" style="2" customWidth="1"/>
    <col min="2" max="2" width="44.140625" style="2" customWidth="1"/>
    <col min="3" max="3" width="11.57421875" style="2" customWidth="1"/>
    <col min="4" max="4" width="5.57421875" style="2" customWidth="1"/>
    <col min="5" max="5" width="9.7109375" style="2" customWidth="1"/>
    <col min="6" max="6" width="5.57421875" style="2" customWidth="1"/>
    <col min="7" max="7" width="13.8515625" style="2" customWidth="1"/>
    <col min="8" max="8" width="14.28125" style="2" customWidth="1"/>
    <col min="9" max="9" width="11.8515625" style="2" customWidth="1"/>
    <col min="10" max="10" width="13.57421875" style="2" customWidth="1"/>
    <col min="11" max="11" width="13.8515625" style="2" customWidth="1"/>
    <col min="12" max="16384" width="9.140625" style="2" customWidth="1"/>
  </cols>
  <sheetData>
    <row r="1" spans="2:5" ht="18">
      <c r="B1" s="1400" t="s">
        <v>454</v>
      </c>
      <c r="C1" s="1400"/>
      <c r="D1" s="1400"/>
      <c r="E1" s="1400"/>
    </row>
    <row r="2" ht="15">
      <c r="H2" s="430" t="s">
        <v>244</v>
      </c>
    </row>
    <row r="3" spans="2:8" ht="18">
      <c r="B3" s="1486" t="s">
        <v>455</v>
      </c>
      <c r="C3" s="1486"/>
      <c r="D3" s="1486"/>
      <c r="E3" s="1486"/>
      <c r="F3" s="1486"/>
      <c r="G3" s="1486"/>
      <c r="H3" s="1486"/>
    </row>
    <row r="4" spans="2:9" ht="12.75" customHeight="1">
      <c r="B4" s="425"/>
      <c r="C4" s="425"/>
      <c r="D4" s="425"/>
      <c r="E4" s="425"/>
      <c r="F4" s="425"/>
      <c r="G4" s="425"/>
      <c r="H4" s="425"/>
      <c r="I4" s="97"/>
    </row>
    <row r="5" spans="1:8" ht="45.75" customHeight="1">
      <c r="A5" s="1479" t="s">
        <v>2104</v>
      </c>
      <c r="B5" s="1479" t="s">
        <v>79</v>
      </c>
      <c r="C5" s="1479" t="s">
        <v>600</v>
      </c>
      <c r="D5" s="1479" t="s">
        <v>80</v>
      </c>
      <c r="E5" s="1479" t="s">
        <v>601</v>
      </c>
      <c r="F5" s="1479" t="s">
        <v>86</v>
      </c>
      <c r="G5" s="1453" t="s">
        <v>296</v>
      </c>
      <c r="H5" s="1453"/>
    </row>
    <row r="6" spans="1:14" ht="45" customHeight="1">
      <c r="A6" s="1479"/>
      <c r="B6" s="1479"/>
      <c r="C6" s="1479"/>
      <c r="D6" s="1479"/>
      <c r="E6" s="1479"/>
      <c r="F6" s="1479"/>
      <c r="G6" s="46" t="s">
        <v>876</v>
      </c>
      <c r="H6" s="46" t="s">
        <v>877</v>
      </c>
      <c r="I6" s="434"/>
      <c r="J6" s="434"/>
      <c r="K6" s="145"/>
      <c r="L6" s="435"/>
      <c r="M6" s="435"/>
      <c r="N6" s="145"/>
    </row>
    <row r="7" spans="1:8" ht="13.5">
      <c r="A7" s="170">
        <v>1</v>
      </c>
      <c r="B7" s="170">
        <v>2</v>
      </c>
      <c r="C7" s="170">
        <v>3</v>
      </c>
      <c r="D7" s="170">
        <v>4</v>
      </c>
      <c r="E7" s="170">
        <v>5</v>
      </c>
      <c r="F7" s="170">
        <v>6</v>
      </c>
      <c r="G7" s="170">
        <v>7</v>
      </c>
      <c r="H7" s="170">
        <v>8</v>
      </c>
    </row>
    <row r="8" spans="1:13" ht="28.5" customHeight="1">
      <c r="A8" s="239">
        <v>1</v>
      </c>
      <c r="B8" s="231" t="s">
        <v>1940</v>
      </c>
      <c r="C8" s="235">
        <v>7130601958</v>
      </c>
      <c r="D8" s="232" t="s">
        <v>1576</v>
      </c>
      <c r="E8" s="240">
        <f>VLOOKUP(C8,'SOR RATE'!A:D,4,0)/1000</f>
        <v>32.575</v>
      </c>
      <c r="F8" s="473">
        <v>482.3</v>
      </c>
      <c r="G8" s="240">
        <f>E8*F8</f>
        <v>15710.922500000002</v>
      </c>
      <c r="H8" s="240">
        <f>E8*F8</f>
        <v>15710.922500000002</v>
      </c>
      <c r="I8" s="42"/>
      <c r="J8" s="42"/>
      <c r="K8" s="104"/>
      <c r="L8" s="104"/>
      <c r="M8" s="104"/>
    </row>
    <row r="9" spans="1:8" ht="15" customHeight="1">
      <c r="A9" s="239">
        <v>2</v>
      </c>
      <c r="B9" s="965" t="s">
        <v>1158</v>
      </c>
      <c r="C9" s="235">
        <v>7130310053</v>
      </c>
      <c r="D9" s="239" t="s">
        <v>1333</v>
      </c>
      <c r="E9" s="240">
        <f>VLOOKUP(C9,'SOR RATE'!A:D,4,0)/1000</f>
        <v>1159.278</v>
      </c>
      <c r="F9" s="239">
        <v>50</v>
      </c>
      <c r="G9" s="240">
        <f>E9*F9</f>
        <v>57963.9</v>
      </c>
      <c r="H9" s="239"/>
    </row>
    <row r="10" spans="1:8" ht="15.75" customHeight="1">
      <c r="A10" s="239">
        <v>3</v>
      </c>
      <c r="B10" s="965" t="s">
        <v>1159</v>
      </c>
      <c r="C10" s="235">
        <v>7130310054</v>
      </c>
      <c r="D10" s="239" t="s">
        <v>1333</v>
      </c>
      <c r="E10" s="240">
        <f>VLOOKUP(C10,'SOR RATE'!A:D,4,0)/1000</f>
        <v>1474.142</v>
      </c>
      <c r="F10" s="239">
        <v>50</v>
      </c>
      <c r="G10" s="239"/>
      <c r="H10" s="240">
        <f>E10*F10</f>
        <v>73707.1</v>
      </c>
    </row>
    <row r="11" spans="1:8" ht="30" customHeight="1">
      <c r="A11" s="239">
        <v>4</v>
      </c>
      <c r="B11" s="966" t="s">
        <v>878</v>
      </c>
      <c r="C11" s="239">
        <v>7130320039</v>
      </c>
      <c r="D11" s="239" t="s">
        <v>1330</v>
      </c>
      <c r="E11" s="240">
        <f>VLOOKUP(C11,'SOR RATE'!A:D,4,0)</f>
        <v>14859</v>
      </c>
      <c r="F11" s="239">
        <v>2</v>
      </c>
      <c r="G11" s="240">
        <f>E11*F11</f>
        <v>29718</v>
      </c>
      <c r="H11" s="240"/>
    </row>
    <row r="12" spans="1:8" ht="30" customHeight="1">
      <c r="A12" s="239">
        <v>5</v>
      </c>
      <c r="B12" s="966" t="s">
        <v>1157</v>
      </c>
      <c r="C12" s="239">
        <v>7130320040</v>
      </c>
      <c r="D12" s="239" t="s">
        <v>1330</v>
      </c>
      <c r="E12" s="240">
        <f>VLOOKUP(C12,'SOR RATE'!A:D,4,0)</f>
        <v>17336</v>
      </c>
      <c r="F12" s="239">
        <v>2</v>
      </c>
      <c r="G12" s="240"/>
      <c r="H12" s="240">
        <f>E12*F12</f>
        <v>34672</v>
      </c>
    </row>
    <row r="13" spans="1:8" ht="16.5" customHeight="1">
      <c r="A13" s="239">
        <v>6</v>
      </c>
      <c r="B13" s="965" t="s">
        <v>602</v>
      </c>
      <c r="C13" s="239">
        <v>7130870013</v>
      </c>
      <c r="D13" s="239" t="s">
        <v>1331</v>
      </c>
      <c r="E13" s="240">
        <f>VLOOKUP(C13,'SOR RATE'!A:D,4,0)</f>
        <v>97</v>
      </c>
      <c r="F13" s="239">
        <v>1</v>
      </c>
      <c r="G13" s="240">
        <f aca="true" t="shared" si="0" ref="G13:G28">E13*F13</f>
        <v>97</v>
      </c>
      <c r="H13" s="240">
        <f>E13*F13</f>
        <v>97</v>
      </c>
    </row>
    <row r="14" spans="1:8" ht="15.75" customHeight="1">
      <c r="A14" s="239">
        <v>7</v>
      </c>
      <c r="B14" s="967" t="s">
        <v>603</v>
      </c>
      <c r="C14" s="239">
        <v>7130810681</v>
      </c>
      <c r="D14" s="239" t="s">
        <v>1331</v>
      </c>
      <c r="E14" s="240">
        <f>VLOOKUP(C14,'SOR RATE'!A:D,4,0)</f>
        <v>2667.12</v>
      </c>
      <c r="F14" s="239">
        <v>2</v>
      </c>
      <c r="G14" s="240">
        <f t="shared" si="0"/>
        <v>5334.24</v>
      </c>
      <c r="H14" s="240">
        <f>E14*F14</f>
        <v>5334.24</v>
      </c>
    </row>
    <row r="15" spans="1:8" ht="14.25" customHeight="1">
      <c r="A15" s="239">
        <v>8</v>
      </c>
      <c r="B15" s="967" t="s">
        <v>604</v>
      </c>
      <c r="C15" s="239">
        <v>7130860033</v>
      </c>
      <c r="D15" s="239" t="s">
        <v>83</v>
      </c>
      <c r="E15" s="240">
        <f>VLOOKUP(C15,'SOR RATE'!A:D,4,0)</f>
        <v>629</v>
      </c>
      <c r="F15" s="239">
        <v>2</v>
      </c>
      <c r="G15" s="240">
        <f t="shared" si="0"/>
        <v>1258</v>
      </c>
      <c r="H15" s="240">
        <f>E15*F15</f>
        <v>1258</v>
      </c>
    </row>
    <row r="16" spans="1:8" ht="16.5" customHeight="1">
      <c r="A16" s="239">
        <v>9</v>
      </c>
      <c r="B16" s="967" t="s">
        <v>605</v>
      </c>
      <c r="C16" s="239">
        <v>7130860076</v>
      </c>
      <c r="D16" s="239" t="s">
        <v>1576</v>
      </c>
      <c r="E16" s="240">
        <f>VLOOKUP(C16,'SOR RATE'!A:D,4,0)/1000</f>
        <v>58.65</v>
      </c>
      <c r="F16" s="239">
        <v>17</v>
      </c>
      <c r="G16" s="240">
        <f t="shared" si="0"/>
        <v>997.05</v>
      </c>
      <c r="H16" s="240">
        <f>E16*F16</f>
        <v>997.05</v>
      </c>
    </row>
    <row r="17" spans="1:10" ht="30" customHeight="1">
      <c r="A17" s="1484">
        <v>10</v>
      </c>
      <c r="B17" s="900" t="s">
        <v>1038</v>
      </c>
      <c r="C17" s="239"/>
      <c r="D17" s="969" t="s">
        <v>1571</v>
      </c>
      <c r="E17" s="970"/>
      <c r="F17" s="241">
        <f>0.65+0.6</f>
        <v>1.25</v>
      </c>
      <c r="G17" s="240"/>
      <c r="H17" s="240"/>
      <c r="I17" s="1"/>
      <c r="J17" s="1"/>
    </row>
    <row r="18" spans="1:8" ht="13.5" customHeight="1">
      <c r="A18" s="1485"/>
      <c r="B18" s="971" t="s">
        <v>1708</v>
      </c>
      <c r="C18" s="239">
        <v>7130200401</v>
      </c>
      <c r="D18" s="239" t="s">
        <v>1576</v>
      </c>
      <c r="E18" s="240">
        <f>VLOOKUP(C18,'SOR RATE'!A:D,4,0)/50</f>
        <v>4.9</v>
      </c>
      <c r="F18" s="239">
        <f>208*F17</f>
        <v>260</v>
      </c>
      <c r="G18" s="240">
        <f>E18*F18</f>
        <v>1274</v>
      </c>
      <c r="H18" s="240">
        <f>E18*F18</f>
        <v>1274</v>
      </c>
    </row>
    <row r="19" spans="1:8" ht="14.25" customHeight="1">
      <c r="A19" s="242">
        <v>11</v>
      </c>
      <c r="B19" s="972" t="s">
        <v>1572</v>
      </c>
      <c r="C19" s="235">
        <v>7130211158</v>
      </c>
      <c r="D19" s="232" t="s">
        <v>1573</v>
      </c>
      <c r="E19" s="240">
        <f>VLOOKUP(C19,'SOR RATE'!A:D,4,0)</f>
        <v>133</v>
      </c>
      <c r="F19" s="239">
        <v>1</v>
      </c>
      <c r="G19" s="240">
        <f t="shared" si="0"/>
        <v>133</v>
      </c>
      <c r="H19" s="240">
        <f aca="true" t="shared" si="1" ref="H19:H25">E19*F19</f>
        <v>133</v>
      </c>
    </row>
    <row r="20" spans="1:8" ht="14.25" customHeight="1">
      <c r="A20" s="239">
        <v>12</v>
      </c>
      <c r="B20" s="972" t="s">
        <v>1574</v>
      </c>
      <c r="C20" s="235">
        <v>7130210809</v>
      </c>
      <c r="D20" s="232" t="s">
        <v>1573</v>
      </c>
      <c r="E20" s="240">
        <f>VLOOKUP(C20,'SOR RATE'!A:D,4,0)</f>
        <v>297</v>
      </c>
      <c r="F20" s="239">
        <v>1</v>
      </c>
      <c r="G20" s="240">
        <f t="shared" si="0"/>
        <v>297</v>
      </c>
      <c r="H20" s="240">
        <f t="shared" si="1"/>
        <v>297</v>
      </c>
    </row>
    <row r="21" spans="1:11" ht="14.25" customHeight="1">
      <c r="A21" s="242">
        <v>13</v>
      </c>
      <c r="B21" s="231" t="s">
        <v>1438</v>
      </c>
      <c r="C21" s="235">
        <v>7130610206</v>
      </c>
      <c r="D21" s="232" t="s">
        <v>1576</v>
      </c>
      <c r="E21" s="240">
        <f>VLOOKUP(C21,'SOR RATE'!A:D,4,0)/1000</f>
        <v>63.963</v>
      </c>
      <c r="F21" s="239">
        <v>2</v>
      </c>
      <c r="G21" s="240">
        <f t="shared" si="0"/>
        <v>127.926</v>
      </c>
      <c r="H21" s="240">
        <f t="shared" si="1"/>
        <v>127.926</v>
      </c>
      <c r="I21" s="1451" t="s">
        <v>2136</v>
      </c>
      <c r="J21" s="1452"/>
      <c r="K21" s="104"/>
    </row>
    <row r="22" spans="1:8" ht="15" customHeight="1">
      <c r="A22" s="239">
        <v>14</v>
      </c>
      <c r="B22" s="972" t="s">
        <v>2114</v>
      </c>
      <c r="C22" s="235">
        <v>7130880041</v>
      </c>
      <c r="D22" s="232" t="s">
        <v>83</v>
      </c>
      <c r="E22" s="240">
        <f>VLOOKUP(C22,'SOR RATE'!A:D,4,0)</f>
        <v>62</v>
      </c>
      <c r="F22" s="239">
        <v>1</v>
      </c>
      <c r="G22" s="240">
        <f t="shared" si="0"/>
        <v>62</v>
      </c>
      <c r="H22" s="240">
        <f t="shared" si="1"/>
        <v>62</v>
      </c>
    </row>
    <row r="23" spans="1:8" ht="14.25" customHeight="1">
      <c r="A23" s="242">
        <v>15</v>
      </c>
      <c r="B23" s="231" t="s">
        <v>287</v>
      </c>
      <c r="C23" s="235">
        <v>7130810692</v>
      </c>
      <c r="D23" s="232" t="s">
        <v>83</v>
      </c>
      <c r="E23" s="240">
        <f>VLOOKUP(C23,'SOR RATE'!A:D,4,0)</f>
        <v>249.66</v>
      </c>
      <c r="F23" s="239">
        <v>4</v>
      </c>
      <c r="G23" s="240">
        <f t="shared" si="0"/>
        <v>998.64</v>
      </c>
      <c r="H23" s="240">
        <f t="shared" si="1"/>
        <v>998.64</v>
      </c>
    </row>
    <row r="24" spans="1:8" ht="13.5" customHeight="1">
      <c r="A24" s="242">
        <v>16</v>
      </c>
      <c r="B24" s="972" t="s">
        <v>606</v>
      </c>
      <c r="C24" s="235">
        <v>7130620609</v>
      </c>
      <c r="D24" s="232" t="s">
        <v>1576</v>
      </c>
      <c r="E24" s="240">
        <f>VLOOKUP(C24,'SOR RATE'!A:D,4,0)</f>
        <v>63</v>
      </c>
      <c r="F24" s="239">
        <v>5</v>
      </c>
      <c r="G24" s="240">
        <f t="shared" si="0"/>
        <v>315</v>
      </c>
      <c r="H24" s="240">
        <f t="shared" si="1"/>
        <v>315</v>
      </c>
    </row>
    <row r="25" spans="1:8" ht="13.5" customHeight="1">
      <c r="A25" s="239">
        <v>17</v>
      </c>
      <c r="B25" s="972" t="s">
        <v>607</v>
      </c>
      <c r="C25" s="235">
        <v>7130620614</v>
      </c>
      <c r="D25" s="232" t="s">
        <v>1576</v>
      </c>
      <c r="E25" s="240">
        <f>VLOOKUP(C25,'SOR RATE'!A:D,4,0)</f>
        <v>62</v>
      </c>
      <c r="F25" s="239">
        <v>1</v>
      </c>
      <c r="G25" s="240">
        <f t="shared" si="0"/>
        <v>62</v>
      </c>
      <c r="H25" s="240">
        <f t="shared" si="1"/>
        <v>62</v>
      </c>
    </row>
    <row r="26" spans="1:13" ht="16.5" customHeight="1">
      <c r="A26" s="239">
        <v>18</v>
      </c>
      <c r="B26" s="901" t="s">
        <v>512</v>
      </c>
      <c r="C26" s="239">
        <v>7130320044</v>
      </c>
      <c r="D26" s="232" t="s">
        <v>1331</v>
      </c>
      <c r="E26" s="240">
        <f>VLOOKUP(C26,'SOR RATE'!A:D,4,0)</f>
        <v>842</v>
      </c>
      <c r="F26" s="239">
        <v>2</v>
      </c>
      <c r="G26" s="240">
        <f t="shared" si="0"/>
        <v>1684</v>
      </c>
      <c r="H26" s="240">
        <f>+G26</f>
        <v>1684</v>
      </c>
      <c r="I26" s="523" t="s">
        <v>289</v>
      </c>
      <c r="J26" s="249"/>
      <c r="K26" s="207"/>
      <c r="L26" s="107"/>
      <c r="M26" s="107"/>
    </row>
    <row r="27" spans="1:11" ht="41.25" customHeight="1">
      <c r="A27" s="239">
        <v>19</v>
      </c>
      <c r="B27" s="901" t="s">
        <v>2146</v>
      </c>
      <c r="C27" s="239">
        <v>7130642039</v>
      </c>
      <c r="D27" s="243" t="s">
        <v>83</v>
      </c>
      <c r="E27" s="240">
        <f>VLOOKUP(C27,'SOR RATE'!A:D,4,0)</f>
        <v>770</v>
      </c>
      <c r="F27" s="239">
        <v>2</v>
      </c>
      <c r="G27" s="240">
        <f t="shared" si="0"/>
        <v>1540</v>
      </c>
      <c r="H27" s="240">
        <f>+G27</f>
        <v>1540</v>
      </c>
      <c r="I27" s="106"/>
      <c r="J27" s="105"/>
      <c r="K27" s="105"/>
    </row>
    <row r="28" spans="1:11" ht="15" customHeight="1">
      <c r="A28" s="239">
        <v>20</v>
      </c>
      <c r="B28" s="901" t="s">
        <v>403</v>
      </c>
      <c r="C28" s="243">
        <v>7130320045</v>
      </c>
      <c r="D28" s="243" t="s">
        <v>83</v>
      </c>
      <c r="E28" s="240">
        <f>VLOOKUP(C28,'SOR RATE'!A:D,4,0)</f>
        <v>25</v>
      </c>
      <c r="F28" s="239">
        <v>25</v>
      </c>
      <c r="G28" s="240">
        <f t="shared" si="0"/>
        <v>625</v>
      </c>
      <c r="H28" s="240">
        <f>+G28</f>
        <v>625</v>
      </c>
      <c r="I28" s="518" t="s">
        <v>2003</v>
      </c>
      <c r="J28" s="249"/>
      <c r="K28" s="105"/>
    </row>
    <row r="29" spans="1:11" ht="15.75" customHeight="1">
      <c r="A29" s="244">
        <v>21</v>
      </c>
      <c r="B29" s="905" t="s">
        <v>1052</v>
      </c>
      <c r="C29" s="245"/>
      <c r="D29" s="245"/>
      <c r="E29" s="244"/>
      <c r="F29" s="244"/>
      <c r="G29" s="973">
        <f>SUM(G8:G28)</f>
        <v>118197.67850000002</v>
      </c>
      <c r="H29" s="973">
        <f>SUM(H8:H28)</f>
        <v>138894.87850000002</v>
      </c>
      <c r="J29" s="194"/>
      <c r="K29" s="194"/>
    </row>
    <row r="30" spans="1:8" ht="15.75" customHeight="1">
      <c r="A30" s="239">
        <v>22</v>
      </c>
      <c r="B30" s="231" t="s">
        <v>1051</v>
      </c>
      <c r="C30" s="242"/>
      <c r="D30" s="242"/>
      <c r="E30" s="239">
        <v>0.09</v>
      </c>
      <c r="F30" s="239"/>
      <c r="G30" s="240">
        <f>E30*G29</f>
        <v>10637.791065000001</v>
      </c>
      <c r="H30" s="240">
        <f>E30*H29</f>
        <v>12500.539065</v>
      </c>
    </row>
    <row r="31" spans="1:8" ht="14.25" customHeight="1">
      <c r="A31" s="242">
        <v>23</v>
      </c>
      <c r="B31" s="972" t="s">
        <v>852</v>
      </c>
      <c r="C31" s="242"/>
      <c r="D31" s="242"/>
      <c r="E31" s="240">
        <f>25000*1.086275*1.1112*1.0685*1.06217</f>
        <v>34248.42337268008</v>
      </c>
      <c r="F31" s="239">
        <v>1</v>
      </c>
      <c r="G31" s="240">
        <f>E31*F31</f>
        <v>34248.42337268008</v>
      </c>
      <c r="H31" s="240">
        <f>E31*F31</f>
        <v>34248.42337268008</v>
      </c>
    </row>
    <row r="32" spans="1:8" ht="15.75" customHeight="1">
      <c r="A32" s="242">
        <v>24</v>
      </c>
      <c r="B32" s="972" t="s">
        <v>608</v>
      </c>
      <c r="C32" s="242"/>
      <c r="D32" s="242"/>
      <c r="E32" s="240">
        <f>10000*1.1797*1.1402*0.9368*0.87</f>
        <v>10962.7308260304</v>
      </c>
      <c r="F32" s="239">
        <v>1</v>
      </c>
      <c r="G32" s="240">
        <f>E32*F32</f>
        <v>10962.7308260304</v>
      </c>
      <c r="H32" s="240">
        <f>E32*F32</f>
        <v>10962.7308260304</v>
      </c>
    </row>
    <row r="33" spans="1:8" ht="15" customHeight="1">
      <c r="A33" s="242">
        <v>25</v>
      </c>
      <c r="B33" s="972" t="s">
        <v>609</v>
      </c>
      <c r="C33" s="242"/>
      <c r="D33" s="242" t="s">
        <v>1571</v>
      </c>
      <c r="E33" s="907">
        <f>1664*1.27*1.0891*1.086275*1.1112*1.0685*1.06217</f>
        <v>3153.010200829536</v>
      </c>
      <c r="F33" s="239">
        <v>1.25</v>
      </c>
      <c r="G33" s="240">
        <f>E33*F33</f>
        <v>3941.2627510369202</v>
      </c>
      <c r="H33" s="240">
        <f>E33*F33</f>
        <v>3941.2627510369202</v>
      </c>
    </row>
    <row r="34" spans="1:8" ht="15" customHeight="1">
      <c r="A34" s="242">
        <v>26</v>
      </c>
      <c r="B34" s="974" t="s">
        <v>240</v>
      </c>
      <c r="C34" s="975"/>
      <c r="D34" s="243" t="s">
        <v>83</v>
      </c>
      <c r="E34" s="976">
        <f>1417.73*1.086275*1.1112*1.0685*1.06217</f>
        <v>1942.2006907259895</v>
      </c>
      <c r="F34" s="239">
        <v>2</v>
      </c>
      <c r="G34" s="240">
        <f>E34*F34</f>
        <v>3884.401381451979</v>
      </c>
      <c r="H34" s="240">
        <f>E34*F34</f>
        <v>3884.401381451979</v>
      </c>
    </row>
    <row r="35" spans="1:8" ht="14.25" customHeight="1">
      <c r="A35" s="245">
        <v>27</v>
      </c>
      <c r="B35" s="905" t="s">
        <v>1053</v>
      </c>
      <c r="C35" s="975"/>
      <c r="D35" s="243"/>
      <c r="E35" s="976"/>
      <c r="F35" s="239"/>
      <c r="G35" s="973">
        <f>SUM(G29:G34)</f>
        <v>181872.28789619938</v>
      </c>
      <c r="H35" s="973">
        <f>SUM(H29:H34)</f>
        <v>204432.23589619942</v>
      </c>
    </row>
    <row r="36" spans="1:8" ht="28.5" customHeight="1">
      <c r="A36" s="969">
        <v>28</v>
      </c>
      <c r="B36" s="231" t="s">
        <v>1054</v>
      </c>
      <c r="C36" s="975"/>
      <c r="D36" s="243"/>
      <c r="E36" s="976">
        <v>0.11</v>
      </c>
      <c r="F36" s="239"/>
      <c r="G36" s="240">
        <f>G29*E36</f>
        <v>13001.744635000003</v>
      </c>
      <c r="H36" s="240">
        <f>H29*E36</f>
        <v>15278.436635000002</v>
      </c>
    </row>
    <row r="37" spans="1:8" ht="15">
      <c r="A37" s="245">
        <v>29</v>
      </c>
      <c r="B37" s="977" t="s">
        <v>610</v>
      </c>
      <c r="C37" s="242"/>
      <c r="D37" s="242"/>
      <c r="E37" s="242"/>
      <c r="F37" s="242"/>
      <c r="G37" s="939">
        <f>G35+G36</f>
        <v>194874.0325311994</v>
      </c>
      <c r="H37" s="939">
        <f>H35+H36</f>
        <v>219710.6725311994</v>
      </c>
    </row>
    <row r="38" spans="1:8" ht="15">
      <c r="A38" s="245">
        <v>30</v>
      </c>
      <c r="B38" s="977" t="s">
        <v>453</v>
      </c>
      <c r="C38" s="779"/>
      <c r="D38" s="779"/>
      <c r="E38" s="779"/>
      <c r="F38" s="779"/>
      <c r="G38" s="939">
        <f>ROUND(G37,0)</f>
        <v>194874</v>
      </c>
      <c r="H38" s="939">
        <f>ROUND(H37,0)</f>
        <v>219711</v>
      </c>
    </row>
    <row r="39" ht="9" customHeight="1"/>
    <row r="40" spans="1:6" ht="27.75" customHeight="1">
      <c r="A40" s="171" t="s">
        <v>1739</v>
      </c>
      <c r="B40" s="1487" t="s">
        <v>1579</v>
      </c>
      <c r="C40" s="1487"/>
      <c r="D40" s="1487"/>
      <c r="E40" s="1487"/>
      <c r="F40" s="1487"/>
    </row>
    <row r="41" spans="7:8" ht="15">
      <c r="G41" s="1338"/>
      <c r="H41" s="1338"/>
    </row>
    <row r="43" spans="7:8" ht="12.75">
      <c r="G43" s="281"/>
      <c r="H43" s="281"/>
    </row>
    <row r="46" ht="12" customHeight="1">
      <c r="A46" s="150"/>
    </row>
    <row r="50" spans="2:5" ht="18">
      <c r="B50" s="1375" t="s">
        <v>2252</v>
      </c>
      <c r="C50" s="1375"/>
      <c r="D50" s="1375"/>
      <c r="E50" s="1375"/>
    </row>
    <row r="52" spans="1:13" ht="28.5" customHeight="1">
      <c r="A52" s="239">
        <v>2</v>
      </c>
      <c r="B52" s="231" t="s">
        <v>1301</v>
      </c>
      <c r="C52" s="235">
        <v>7130601072</v>
      </c>
      <c r="D52" s="232" t="s">
        <v>1576</v>
      </c>
      <c r="E52" s="532"/>
      <c r="F52" s="1336"/>
      <c r="G52" s="532"/>
      <c r="H52" s="532"/>
      <c r="I52" s="42"/>
      <c r="J52" s="42"/>
      <c r="K52" s="104"/>
      <c r="L52" s="104"/>
      <c r="M52" s="104"/>
    </row>
    <row r="53" spans="1:8" ht="14.25" customHeight="1">
      <c r="A53" s="242">
        <v>17</v>
      </c>
      <c r="B53" s="231" t="s">
        <v>1164</v>
      </c>
      <c r="C53" s="235">
        <v>7130810201</v>
      </c>
      <c r="D53" s="232" t="s">
        <v>83</v>
      </c>
      <c r="E53" s="532"/>
      <c r="F53" s="1337"/>
      <c r="G53" s="532"/>
      <c r="H53" s="532"/>
    </row>
    <row r="54" spans="1:8" ht="14.25" customHeight="1">
      <c r="A54" s="242">
        <v>18</v>
      </c>
      <c r="B54" s="231" t="s">
        <v>1165</v>
      </c>
      <c r="C54" s="235">
        <v>7130810251</v>
      </c>
      <c r="D54" s="232" t="s">
        <v>83</v>
      </c>
      <c r="E54" s="532"/>
      <c r="F54" s="1337"/>
      <c r="G54" s="532"/>
      <c r="H54" s="532"/>
    </row>
  </sheetData>
  <sheetProtection/>
  <mergeCells count="13">
    <mergeCell ref="I21:J21"/>
    <mergeCell ref="B1:E1"/>
    <mergeCell ref="B3:H3"/>
    <mergeCell ref="B5:B6"/>
    <mergeCell ref="B40:F40"/>
    <mergeCell ref="G5:H5"/>
    <mergeCell ref="F5:F6"/>
    <mergeCell ref="A17:A18"/>
    <mergeCell ref="E5:E6"/>
    <mergeCell ref="D5:D6"/>
    <mergeCell ref="C5:C6"/>
    <mergeCell ref="A5:A6"/>
    <mergeCell ref="B50:E50"/>
  </mergeCells>
  <printOptions/>
  <pageMargins left="0.84" right="0.12" top="0.72" bottom="0.32" header="0.5" footer="0.16"/>
  <pageSetup horizontalDpi="600" verticalDpi="600" orientation="landscape" scale="115" r:id="rId1"/>
</worksheet>
</file>

<file path=xl/worksheets/sheet14.xml><?xml version="1.0" encoding="utf-8"?>
<worksheet xmlns="http://schemas.openxmlformats.org/spreadsheetml/2006/main" xmlns:r="http://schemas.openxmlformats.org/officeDocument/2006/relationships">
  <sheetPr>
    <tabColor indexed="15"/>
  </sheetPr>
  <dimension ref="A1:M67"/>
  <sheetViews>
    <sheetView zoomScalePageLayoutView="0" workbookViewId="0" topLeftCell="A1">
      <pane xSplit="2" ySplit="7" topLeftCell="D8" activePane="bottomRight" state="frozen"/>
      <selection pane="topLeft" activeCell="A1" sqref="A1"/>
      <selection pane="topRight" activeCell="C1" sqref="C1"/>
      <selection pane="bottomLeft" activeCell="A8" sqref="A8"/>
      <selection pane="bottomRight" activeCell="M60" sqref="M60"/>
    </sheetView>
  </sheetViews>
  <sheetFormatPr defaultColWidth="9.140625" defaultRowHeight="12.75"/>
  <cols>
    <col min="1" max="1" width="4.140625" style="2" customWidth="1"/>
    <col min="2" max="2" width="52.00390625" style="2" customWidth="1"/>
    <col min="3" max="3" width="13.7109375" style="2" customWidth="1"/>
    <col min="4" max="4" width="5.7109375" style="2" bestFit="1" customWidth="1"/>
    <col min="5" max="5" width="5.57421875" style="2" customWidth="1"/>
    <col min="6" max="6" width="9.57421875" style="2" customWidth="1"/>
    <col min="7" max="7" width="13.57421875" style="2" customWidth="1"/>
    <col min="8" max="8" width="5.28125" style="2" customWidth="1"/>
    <col min="9" max="9" width="9.00390625" style="2" customWidth="1"/>
    <col min="10" max="10" width="11.140625" style="2" customWidth="1"/>
    <col min="11" max="11" width="12.57421875" style="2" customWidth="1"/>
    <col min="12" max="12" width="16.8515625" style="2" customWidth="1"/>
    <col min="13" max="13" width="14.8515625" style="2" customWidth="1"/>
    <col min="14" max="16384" width="9.140625" style="2" customWidth="1"/>
  </cols>
  <sheetData>
    <row r="1" spans="1:7" ht="18">
      <c r="A1" s="61"/>
      <c r="B1" s="126"/>
      <c r="C1" s="1486" t="s">
        <v>1299</v>
      </c>
      <c r="D1" s="1486"/>
      <c r="E1" s="1486"/>
      <c r="F1" s="1486"/>
      <c r="G1" s="1486"/>
    </row>
    <row r="2" spans="1:3" ht="9" customHeight="1">
      <c r="A2" s="61"/>
      <c r="C2" s="18"/>
    </row>
    <row r="3" spans="1:9" ht="35.25" customHeight="1">
      <c r="A3" s="61"/>
      <c r="B3" s="1415" t="s">
        <v>900</v>
      </c>
      <c r="C3" s="1415"/>
      <c r="D3" s="1415"/>
      <c r="E3" s="1415"/>
      <c r="F3" s="1415"/>
      <c r="G3" s="1415"/>
      <c r="H3" s="1415"/>
      <c r="I3" s="1415"/>
    </row>
    <row r="4" spans="1:10" ht="14.25" customHeight="1">
      <c r="A4" s="61"/>
      <c r="B4" s="82"/>
      <c r="C4" s="82"/>
      <c r="D4" s="82"/>
      <c r="E4" s="82"/>
      <c r="F4" s="82"/>
      <c r="G4" s="82"/>
      <c r="H4" s="1433" t="s">
        <v>244</v>
      </c>
      <c r="I4" s="1433"/>
      <c r="J4" s="33"/>
    </row>
    <row r="5" spans="1:10" ht="33" customHeight="1">
      <c r="A5" s="1404" t="s">
        <v>78</v>
      </c>
      <c r="B5" s="1404" t="s">
        <v>79</v>
      </c>
      <c r="C5" s="1384" t="s">
        <v>88</v>
      </c>
      <c r="D5" s="1404" t="s">
        <v>80</v>
      </c>
      <c r="E5" s="1404" t="s">
        <v>81</v>
      </c>
      <c r="F5" s="1404"/>
      <c r="G5" s="1404"/>
      <c r="H5" s="1404" t="s">
        <v>243</v>
      </c>
      <c r="I5" s="1404"/>
      <c r="J5" s="1404"/>
    </row>
    <row r="6" spans="1:10" ht="16.5" customHeight="1">
      <c r="A6" s="1404"/>
      <c r="B6" s="1404"/>
      <c r="C6" s="1385"/>
      <c r="D6" s="1404"/>
      <c r="E6" s="484" t="s">
        <v>86</v>
      </c>
      <c r="F6" s="484" t="s">
        <v>1326</v>
      </c>
      <c r="G6" s="484" t="s">
        <v>2047</v>
      </c>
      <c r="H6" s="484" t="s">
        <v>86</v>
      </c>
      <c r="I6" s="484" t="s">
        <v>1326</v>
      </c>
      <c r="J6" s="484" t="s">
        <v>2047</v>
      </c>
    </row>
    <row r="7" spans="1:10" ht="14.25">
      <c r="A7" s="180">
        <v>1</v>
      </c>
      <c r="B7" s="179">
        <v>2</v>
      </c>
      <c r="C7" s="179">
        <v>3</v>
      </c>
      <c r="D7" s="179">
        <v>4</v>
      </c>
      <c r="E7" s="181">
        <v>5</v>
      </c>
      <c r="F7" s="181">
        <v>6</v>
      </c>
      <c r="G7" s="181">
        <v>7</v>
      </c>
      <c r="H7" s="179">
        <v>8</v>
      </c>
      <c r="I7" s="179">
        <v>9</v>
      </c>
      <c r="J7" s="179">
        <v>10</v>
      </c>
    </row>
    <row r="8" spans="1:12" ht="17.25" customHeight="1">
      <c r="A8" s="1491">
        <v>1</v>
      </c>
      <c r="B8" s="223" t="s">
        <v>1247</v>
      </c>
      <c r="C8" s="224">
        <v>7130800033</v>
      </c>
      <c r="D8" s="461" t="s">
        <v>83</v>
      </c>
      <c r="E8" s="631">
        <v>2</v>
      </c>
      <c r="F8" s="474">
        <f>VLOOKUP(C8,'SOR RATE'!A:D,4,0)</f>
        <v>2993</v>
      </c>
      <c r="G8" s="474">
        <f>E8*F8</f>
        <v>5986</v>
      </c>
      <c r="H8" s="221"/>
      <c r="I8" s="221"/>
      <c r="J8" s="221"/>
      <c r="K8" s="341"/>
      <c r="L8" s="341"/>
    </row>
    <row r="9" spans="1:10" ht="31.5" customHeight="1">
      <c r="A9" s="1491"/>
      <c r="B9" s="223" t="s">
        <v>1097</v>
      </c>
      <c r="C9" s="923">
        <v>7130601958</v>
      </c>
      <c r="D9" s="461" t="s">
        <v>1576</v>
      </c>
      <c r="E9" s="221"/>
      <c r="F9" s="222"/>
      <c r="G9" s="222"/>
      <c r="H9" s="221">
        <v>964.6</v>
      </c>
      <c r="I9" s="475">
        <f>VLOOKUP(C9,'SOR RATE'!A:D,4,0)/1000</f>
        <v>32.575</v>
      </c>
      <c r="J9" s="222">
        <f aca="true" t="shared" si="0" ref="J9:J18">I9*H9</f>
        <v>31421.845000000005</v>
      </c>
    </row>
    <row r="10" spans="1:10" ht="17.25" customHeight="1">
      <c r="A10" s="631">
        <v>2</v>
      </c>
      <c r="B10" s="978" t="s">
        <v>2185</v>
      </c>
      <c r="C10" s="224">
        <v>7130810608</v>
      </c>
      <c r="D10" s="631" t="s">
        <v>1330</v>
      </c>
      <c r="E10" s="221">
        <v>2</v>
      </c>
      <c r="F10" s="474">
        <f>VLOOKUP(C10,'SOR RATE'!A:D,4,0)</f>
        <v>4444.09</v>
      </c>
      <c r="G10" s="222">
        <f aca="true" t="shared" si="1" ref="G10:G15">F10*E10</f>
        <v>8888.18</v>
      </c>
      <c r="H10" s="221">
        <v>2</v>
      </c>
      <c r="I10" s="475">
        <f>VLOOKUP(C10,'SOR RATE'!A:D,4,0)</f>
        <v>4444.09</v>
      </c>
      <c r="J10" s="222">
        <f t="shared" si="0"/>
        <v>8888.18</v>
      </c>
    </row>
    <row r="11" spans="1:13" ht="14.25">
      <c r="A11" s="472">
        <v>3</v>
      </c>
      <c r="B11" s="922" t="s">
        <v>501</v>
      </c>
      <c r="C11" s="224">
        <v>7130820011</v>
      </c>
      <c r="D11" s="221" t="s">
        <v>83</v>
      </c>
      <c r="E11" s="221">
        <v>18</v>
      </c>
      <c r="F11" s="474">
        <f>VLOOKUP(C11,'SOR RATE'!A:D,4,0)</f>
        <v>307</v>
      </c>
      <c r="G11" s="222">
        <f t="shared" si="1"/>
        <v>5526</v>
      </c>
      <c r="H11" s="221">
        <v>18</v>
      </c>
      <c r="I11" s="475">
        <f>VLOOKUP(C11,'SOR RATE'!A:D,4,0)</f>
        <v>307</v>
      </c>
      <c r="J11" s="222">
        <f t="shared" si="0"/>
        <v>5526</v>
      </c>
      <c r="L11" s="159"/>
      <c r="M11" s="159"/>
    </row>
    <row r="12" spans="1:13" ht="14.25">
      <c r="A12" s="472">
        <v>4</v>
      </c>
      <c r="B12" s="922" t="s">
        <v>1252</v>
      </c>
      <c r="C12" s="923">
        <v>7130820248</v>
      </c>
      <c r="D12" s="221" t="s">
        <v>83</v>
      </c>
      <c r="E12" s="221">
        <v>6</v>
      </c>
      <c r="F12" s="474">
        <f>VLOOKUP(C12,'SOR RATE'!A:D,4,0)</f>
        <v>241</v>
      </c>
      <c r="G12" s="222">
        <f t="shared" si="1"/>
        <v>1446</v>
      </c>
      <c r="H12" s="221">
        <v>6</v>
      </c>
      <c r="I12" s="475">
        <f>VLOOKUP(C12,'SOR RATE'!A:D,4,0)</f>
        <v>241</v>
      </c>
      <c r="J12" s="222">
        <f t="shared" si="0"/>
        <v>1446</v>
      </c>
      <c r="L12" s="145"/>
      <c r="M12" s="145"/>
    </row>
    <row r="13" spans="1:13" ht="14.25">
      <c r="A13" s="952">
        <v>5</v>
      </c>
      <c r="B13" s="223" t="s">
        <v>496</v>
      </c>
      <c r="C13" s="224">
        <v>7130820009</v>
      </c>
      <c r="D13" s="221" t="s">
        <v>83</v>
      </c>
      <c r="E13" s="221">
        <v>3</v>
      </c>
      <c r="F13" s="474">
        <f>VLOOKUP(C13,'SOR RATE'!A:D,4,0)</f>
        <v>385</v>
      </c>
      <c r="G13" s="222">
        <f t="shared" si="1"/>
        <v>1155</v>
      </c>
      <c r="H13" s="221">
        <v>3</v>
      </c>
      <c r="I13" s="475">
        <f>VLOOKUP(C13,'SOR RATE'!A:D,4,0)</f>
        <v>385</v>
      </c>
      <c r="J13" s="222">
        <f t="shared" si="0"/>
        <v>1155</v>
      </c>
      <c r="L13" s="144"/>
      <c r="M13" s="144"/>
    </row>
    <row r="14" spans="1:10" ht="14.25">
      <c r="A14" s="1488">
        <v>6</v>
      </c>
      <c r="B14" s="223" t="s">
        <v>2111</v>
      </c>
      <c r="C14" s="224">
        <v>7130860033</v>
      </c>
      <c r="D14" s="461" t="s">
        <v>83</v>
      </c>
      <c r="E14" s="476">
        <v>6</v>
      </c>
      <c r="F14" s="474">
        <f>VLOOKUP(C14,'SOR RATE'!A:D,4,0)</f>
        <v>629</v>
      </c>
      <c r="G14" s="222">
        <f t="shared" si="1"/>
        <v>3774</v>
      </c>
      <c r="H14" s="221">
        <v>4</v>
      </c>
      <c r="I14" s="475">
        <f>VLOOKUP(C14,'SOR RATE'!A:D,4,0)</f>
        <v>629</v>
      </c>
      <c r="J14" s="222">
        <f t="shared" si="0"/>
        <v>2516</v>
      </c>
    </row>
    <row r="15" spans="1:10" ht="14.25">
      <c r="A15" s="1489"/>
      <c r="B15" s="223" t="s">
        <v>2118</v>
      </c>
      <c r="C15" s="224">
        <v>7130810193</v>
      </c>
      <c r="D15" s="461" t="s">
        <v>83</v>
      </c>
      <c r="E15" s="476">
        <v>6</v>
      </c>
      <c r="F15" s="474">
        <f>VLOOKUP(C15,'SOR RATE'!A:D,4,0)</f>
        <v>225.04</v>
      </c>
      <c r="G15" s="222">
        <f t="shared" si="1"/>
        <v>1350.24</v>
      </c>
      <c r="H15" s="221"/>
      <c r="I15" s="222"/>
      <c r="J15" s="222"/>
    </row>
    <row r="16" spans="1:10" ht="14.25">
      <c r="A16" s="1489"/>
      <c r="B16" s="223" t="s">
        <v>1444</v>
      </c>
      <c r="C16" s="224">
        <v>7130810692</v>
      </c>
      <c r="D16" s="461" t="s">
        <v>83</v>
      </c>
      <c r="E16" s="476"/>
      <c r="F16" s="222"/>
      <c r="G16" s="222"/>
      <c r="H16" s="221">
        <v>4</v>
      </c>
      <c r="I16" s="475">
        <f>VLOOKUP(C16,'SOR RATE'!A:D,4,0)</f>
        <v>249.66</v>
      </c>
      <c r="J16" s="222">
        <f t="shared" si="0"/>
        <v>998.64</v>
      </c>
    </row>
    <row r="17" spans="1:10" ht="14.25">
      <c r="A17" s="1490"/>
      <c r="B17" s="223" t="s">
        <v>230</v>
      </c>
      <c r="C17" s="224">
        <v>7130860076</v>
      </c>
      <c r="D17" s="461" t="s">
        <v>1576</v>
      </c>
      <c r="E17" s="476">
        <v>51</v>
      </c>
      <c r="F17" s="474">
        <f>VLOOKUP(C17,'SOR RATE'!A:D,4,0)/1000</f>
        <v>58.65</v>
      </c>
      <c r="G17" s="222">
        <f>F17*E17</f>
        <v>2991.15</v>
      </c>
      <c r="H17" s="221">
        <v>34</v>
      </c>
      <c r="I17" s="475">
        <f>VLOOKUP(C17,'SOR RATE'!A:D,4,0)/1000</f>
        <v>58.65</v>
      </c>
      <c r="J17" s="222">
        <f t="shared" si="0"/>
        <v>1994.1</v>
      </c>
    </row>
    <row r="18" spans="1:10" ht="14.25">
      <c r="A18" s="979">
        <v>7</v>
      </c>
      <c r="B18" s="223" t="s">
        <v>1742</v>
      </c>
      <c r="C18" s="224">
        <v>7130810624</v>
      </c>
      <c r="D18" s="461" t="s">
        <v>1331</v>
      </c>
      <c r="E18" s="476">
        <v>6</v>
      </c>
      <c r="F18" s="474">
        <f>VLOOKUP(C18,'SOR RATE'!A:D,4,0)</f>
        <v>75</v>
      </c>
      <c r="G18" s="222">
        <f>F18*E18</f>
        <v>450</v>
      </c>
      <c r="H18" s="221">
        <v>6</v>
      </c>
      <c r="I18" s="475">
        <f>VLOOKUP(C18,'SOR RATE'!A:D,4,0)</f>
        <v>75</v>
      </c>
      <c r="J18" s="222">
        <f t="shared" si="0"/>
        <v>450</v>
      </c>
    </row>
    <row r="19" spans="1:11" ht="46.5" customHeight="1">
      <c r="A19" s="1488">
        <v>8</v>
      </c>
      <c r="B19" s="223" t="s">
        <v>754</v>
      </c>
      <c r="C19" s="224"/>
      <c r="D19" s="461" t="s">
        <v>1571</v>
      </c>
      <c r="E19" s="980">
        <f>(0.05*2)+(0.3*6)</f>
        <v>1.9</v>
      </c>
      <c r="F19" s="222"/>
      <c r="G19" s="222"/>
      <c r="H19" s="980">
        <f>(0.65*2)+(0.3*4)</f>
        <v>2.5</v>
      </c>
      <c r="I19" s="222"/>
      <c r="J19" s="222"/>
      <c r="K19" s="569" t="s">
        <v>755</v>
      </c>
    </row>
    <row r="20" spans="1:10" ht="17.25" customHeight="1">
      <c r="A20" s="1490"/>
      <c r="B20" s="223" t="s">
        <v>695</v>
      </c>
      <c r="C20" s="224">
        <v>7130200401</v>
      </c>
      <c r="D20" s="461" t="s">
        <v>1576</v>
      </c>
      <c r="E20" s="476">
        <f>1.9*208</f>
        <v>395.2</v>
      </c>
      <c r="F20" s="474">
        <f>VLOOKUP(C20,'SOR RATE'!A:D,4,0)/50</f>
        <v>4.9</v>
      </c>
      <c r="G20" s="222">
        <f aca="true" t="shared" si="2" ref="G20:G25">F20*E20</f>
        <v>1936.48</v>
      </c>
      <c r="H20" s="631">
        <f>2.5*208</f>
        <v>520</v>
      </c>
      <c r="I20" s="475">
        <f>VLOOKUP(C20,'SOR RATE'!A:D,4,0)/50</f>
        <v>4.9</v>
      </c>
      <c r="J20" s="222">
        <f aca="true" t="shared" si="3" ref="J20:J25">I20*H20</f>
        <v>2548</v>
      </c>
    </row>
    <row r="21" spans="1:10" ht="17.25" customHeight="1">
      <c r="A21" s="631">
        <v>9</v>
      </c>
      <c r="B21" s="223" t="s">
        <v>84</v>
      </c>
      <c r="C21" s="224">
        <v>7130870013</v>
      </c>
      <c r="D21" s="461" t="s">
        <v>83</v>
      </c>
      <c r="E21" s="476">
        <v>2</v>
      </c>
      <c r="F21" s="474">
        <f>VLOOKUP(C21,'SOR RATE'!A:D,4,0)</f>
        <v>97</v>
      </c>
      <c r="G21" s="222">
        <f t="shared" si="2"/>
        <v>194</v>
      </c>
      <c r="H21" s="631">
        <v>2</v>
      </c>
      <c r="I21" s="475">
        <f>VLOOKUP(C21,'SOR RATE'!A:D,4,0)</f>
        <v>97</v>
      </c>
      <c r="J21" s="222">
        <f t="shared" si="3"/>
        <v>194</v>
      </c>
    </row>
    <row r="22" spans="1:10" ht="14.25">
      <c r="A22" s="472">
        <v>10</v>
      </c>
      <c r="B22" s="223" t="s">
        <v>1572</v>
      </c>
      <c r="C22" s="224">
        <v>7130211158</v>
      </c>
      <c r="D22" s="461" t="s">
        <v>1573</v>
      </c>
      <c r="E22" s="980">
        <v>0.5</v>
      </c>
      <c r="F22" s="474">
        <f>VLOOKUP(C22,'SOR RATE'!A:D,4,0)</f>
        <v>133</v>
      </c>
      <c r="G22" s="222">
        <f t="shared" si="2"/>
        <v>66.5</v>
      </c>
      <c r="H22" s="221">
        <v>2</v>
      </c>
      <c r="I22" s="475">
        <f>VLOOKUP(C22,'SOR RATE'!A:D,4,0)</f>
        <v>133</v>
      </c>
      <c r="J22" s="222">
        <f t="shared" si="3"/>
        <v>266</v>
      </c>
    </row>
    <row r="23" spans="1:10" ht="14.25">
      <c r="A23" s="949">
        <v>11</v>
      </c>
      <c r="B23" s="223" t="s">
        <v>1574</v>
      </c>
      <c r="C23" s="224">
        <v>7130210809</v>
      </c>
      <c r="D23" s="461" t="s">
        <v>1573</v>
      </c>
      <c r="E23" s="980">
        <v>0.5</v>
      </c>
      <c r="F23" s="474">
        <f>VLOOKUP(C23,'SOR RATE'!A:D,4,0)</f>
        <v>297</v>
      </c>
      <c r="G23" s="222">
        <f t="shared" si="2"/>
        <v>148.5</v>
      </c>
      <c r="H23" s="221">
        <v>2</v>
      </c>
      <c r="I23" s="475">
        <f>VLOOKUP(C23,'SOR RATE'!A:D,4,0)</f>
        <v>297</v>
      </c>
      <c r="J23" s="222">
        <f t="shared" si="3"/>
        <v>594</v>
      </c>
    </row>
    <row r="24" spans="1:12" ht="17.25" customHeight="1">
      <c r="A24" s="221">
        <v>12</v>
      </c>
      <c r="B24" s="847" t="s">
        <v>1439</v>
      </c>
      <c r="C24" s="224">
        <v>7130610206</v>
      </c>
      <c r="D24" s="221" t="s">
        <v>1576</v>
      </c>
      <c r="E24" s="476">
        <v>4</v>
      </c>
      <c r="F24" s="474">
        <f>VLOOKUP(C24,'SOR RATE'!A:D,4,0)/1000</f>
        <v>63.963</v>
      </c>
      <c r="G24" s="222">
        <f t="shared" si="2"/>
        <v>255.852</v>
      </c>
      <c r="H24" s="221">
        <v>4</v>
      </c>
      <c r="I24" s="475">
        <f>VLOOKUP(C24,'SOR RATE'!A:D,4,0)/1000</f>
        <v>63.963</v>
      </c>
      <c r="J24" s="222">
        <f t="shared" si="3"/>
        <v>255.852</v>
      </c>
      <c r="K24" s="1411" t="s">
        <v>756</v>
      </c>
      <c r="L24" s="1412"/>
    </row>
    <row r="25" spans="1:10" ht="14.25">
      <c r="A25" s="472">
        <v>13</v>
      </c>
      <c r="B25" s="223" t="s">
        <v>2114</v>
      </c>
      <c r="C25" s="224">
        <v>7130880041</v>
      </c>
      <c r="D25" s="461" t="s">
        <v>83</v>
      </c>
      <c r="E25" s="476">
        <v>1</v>
      </c>
      <c r="F25" s="474">
        <f>VLOOKUP(C25,'SOR RATE'!A:D,4,0)</f>
        <v>62</v>
      </c>
      <c r="G25" s="222">
        <f t="shared" si="2"/>
        <v>62</v>
      </c>
      <c r="H25" s="221">
        <v>1</v>
      </c>
      <c r="I25" s="475">
        <f>VLOOKUP(C25,'SOR RATE'!A:D,4,0)</f>
        <v>62</v>
      </c>
      <c r="J25" s="222">
        <f t="shared" si="3"/>
        <v>62</v>
      </c>
    </row>
    <row r="26" spans="1:10" ht="14.25">
      <c r="A26" s="1488">
        <v>14</v>
      </c>
      <c r="B26" s="223" t="s">
        <v>1577</v>
      </c>
      <c r="C26" s="224"/>
      <c r="D26" s="461" t="s">
        <v>1576</v>
      </c>
      <c r="E26" s="476">
        <v>7</v>
      </c>
      <c r="F26" s="222"/>
      <c r="G26" s="222"/>
      <c r="H26" s="981">
        <v>7</v>
      </c>
      <c r="I26" s="222"/>
      <c r="J26" s="222"/>
    </row>
    <row r="27" spans="1:10" ht="15.75" customHeight="1">
      <c r="A27" s="1489"/>
      <c r="B27" s="223" t="s">
        <v>56</v>
      </c>
      <c r="C27" s="224">
        <v>7130620609</v>
      </c>
      <c r="D27" s="461" t="s">
        <v>1576</v>
      </c>
      <c r="E27" s="222">
        <v>0.5</v>
      </c>
      <c r="F27" s="474">
        <f>VLOOKUP(C27,'SOR RATE'!A:D,4,0)</f>
        <v>63</v>
      </c>
      <c r="G27" s="222">
        <f>F27*E27</f>
        <v>31.5</v>
      </c>
      <c r="H27" s="981">
        <v>0.5</v>
      </c>
      <c r="I27" s="475">
        <f>VLOOKUP(C27,'SOR RATE'!A:D,4,0)</f>
        <v>63</v>
      </c>
      <c r="J27" s="222">
        <f>I27*H27</f>
        <v>31.5</v>
      </c>
    </row>
    <row r="28" spans="1:10" ht="15.75" customHeight="1">
      <c r="A28" s="1489"/>
      <c r="B28" s="223" t="s">
        <v>2106</v>
      </c>
      <c r="C28" s="224">
        <v>7130620614</v>
      </c>
      <c r="D28" s="461" t="s">
        <v>1576</v>
      </c>
      <c r="E28" s="222">
        <v>0.5</v>
      </c>
      <c r="F28" s="474">
        <f>VLOOKUP(C28,'SOR RATE'!A:D,4,0)</f>
        <v>62</v>
      </c>
      <c r="G28" s="222">
        <f>F28*E28</f>
        <v>31</v>
      </c>
      <c r="H28" s="221">
        <v>0.5</v>
      </c>
      <c r="I28" s="475">
        <f>VLOOKUP(C28,'SOR RATE'!A:D,4,0)</f>
        <v>62</v>
      </c>
      <c r="J28" s="222">
        <f>I28*H28</f>
        <v>31</v>
      </c>
    </row>
    <row r="29" spans="1:10" ht="14.25">
      <c r="A29" s="1489"/>
      <c r="B29" s="223" t="s">
        <v>2107</v>
      </c>
      <c r="C29" s="224">
        <v>7130620619</v>
      </c>
      <c r="D29" s="461" t="s">
        <v>1576</v>
      </c>
      <c r="E29" s="222"/>
      <c r="F29" s="474">
        <f>VLOOKUP(C29,'SOR RATE'!A:D,4,0)</f>
        <v>62</v>
      </c>
      <c r="G29" s="222"/>
      <c r="H29" s="981">
        <v>2.5</v>
      </c>
      <c r="I29" s="475">
        <f>VLOOKUP(C29,'SOR RATE'!A:D,4,0)</f>
        <v>62</v>
      </c>
      <c r="J29" s="222">
        <f>I29*H29</f>
        <v>155</v>
      </c>
    </row>
    <row r="30" spans="1:10" ht="14.25">
      <c r="A30" s="1489"/>
      <c r="B30" s="223" t="s">
        <v>2108</v>
      </c>
      <c r="C30" s="224">
        <v>7130620625</v>
      </c>
      <c r="D30" s="461" t="s">
        <v>1576</v>
      </c>
      <c r="E30" s="476">
        <v>2</v>
      </c>
      <c r="F30" s="474">
        <f>VLOOKUP(C30,'SOR RATE'!A:D,4,0)</f>
        <v>61</v>
      </c>
      <c r="G30" s="222">
        <f>F30*E30</f>
        <v>122</v>
      </c>
      <c r="H30" s="981"/>
      <c r="I30" s="475">
        <f>VLOOKUP(C30,'SOR RATE'!A:D,4,0)</f>
        <v>61</v>
      </c>
      <c r="J30" s="222"/>
    </row>
    <row r="31" spans="1:10" ht="14.25">
      <c r="A31" s="1490"/>
      <c r="B31" s="223" t="s">
        <v>2121</v>
      </c>
      <c r="C31" s="224">
        <v>7130620631</v>
      </c>
      <c r="D31" s="461" t="s">
        <v>1576</v>
      </c>
      <c r="E31" s="476">
        <v>4</v>
      </c>
      <c r="F31" s="474">
        <f>VLOOKUP(C31,'SOR RATE'!A:D,4,0)</f>
        <v>61</v>
      </c>
      <c r="G31" s="222">
        <f>F31*E31</f>
        <v>244</v>
      </c>
      <c r="H31" s="981">
        <v>3.5</v>
      </c>
      <c r="I31" s="475">
        <f>VLOOKUP(C31,'SOR RATE'!A:D,4,0)</f>
        <v>61</v>
      </c>
      <c r="J31" s="222">
        <f>I31*H31</f>
        <v>213.5</v>
      </c>
    </row>
    <row r="32" spans="1:10" ht="43.5" customHeight="1">
      <c r="A32" s="979">
        <v>15</v>
      </c>
      <c r="B32" s="982" t="s">
        <v>2186</v>
      </c>
      <c r="C32" s="923">
        <v>7130642039</v>
      </c>
      <c r="D32" s="981" t="s">
        <v>83</v>
      </c>
      <c r="E32" s="983">
        <v>2</v>
      </c>
      <c r="F32" s="474">
        <f>VLOOKUP(C32,'SOR RATE'!A:D,4,0)</f>
        <v>770</v>
      </c>
      <c r="G32" s="984">
        <f>F32*E32</f>
        <v>1540</v>
      </c>
      <c r="H32" s="981">
        <v>2</v>
      </c>
      <c r="I32" s="475">
        <f>VLOOKUP(C32,'SOR RATE'!A:D,4,0)</f>
        <v>770</v>
      </c>
      <c r="J32" s="984">
        <f>I32*H32</f>
        <v>1540</v>
      </c>
    </row>
    <row r="33" spans="1:10" ht="16.5" customHeight="1">
      <c r="A33" s="472">
        <v>16</v>
      </c>
      <c r="B33" s="246" t="s">
        <v>2187</v>
      </c>
      <c r="C33" s="985"/>
      <c r="D33" s="635" t="s">
        <v>1611</v>
      </c>
      <c r="E33" s="635">
        <v>1</v>
      </c>
      <c r="F33" s="853">
        <v>90</v>
      </c>
      <c r="G33" s="984">
        <f>F33*E33</f>
        <v>90</v>
      </c>
      <c r="H33" s="472">
        <v>1</v>
      </c>
      <c r="I33" s="984">
        <v>90</v>
      </c>
      <c r="J33" s="986">
        <f>I33*H33</f>
        <v>90</v>
      </c>
    </row>
    <row r="34" spans="1:13" ht="15.75" customHeight="1">
      <c r="A34" s="472">
        <v>17</v>
      </c>
      <c r="B34" s="246" t="s">
        <v>1652</v>
      </c>
      <c r="C34" s="238">
        <v>7130840021</v>
      </c>
      <c r="D34" s="635" t="s">
        <v>1611</v>
      </c>
      <c r="E34" s="635">
        <v>3</v>
      </c>
      <c r="F34" s="474">
        <f>VLOOKUP(C34,'SOR RATE'!A:D,4,0)</f>
        <v>3551</v>
      </c>
      <c r="G34" s="986">
        <f>F34*E34</f>
        <v>10653</v>
      </c>
      <c r="H34" s="472">
        <v>3</v>
      </c>
      <c r="I34" s="475">
        <f>VLOOKUP(C34,'SOR RATE'!A:D,4,0)</f>
        <v>3551</v>
      </c>
      <c r="J34" s="852">
        <f aca="true" t="shared" si="4" ref="J34:J39">I34*H34</f>
        <v>10653</v>
      </c>
      <c r="L34" s="1492" t="s">
        <v>1653</v>
      </c>
      <c r="M34" s="1492"/>
    </row>
    <row r="35" spans="1:10" ht="16.5" customHeight="1">
      <c r="A35" s="472">
        <v>18</v>
      </c>
      <c r="B35" s="246" t="s">
        <v>2188</v>
      </c>
      <c r="C35" s="985"/>
      <c r="D35" s="853" t="s">
        <v>83</v>
      </c>
      <c r="E35" s="635"/>
      <c r="F35" s="853"/>
      <c r="G35" s="986"/>
      <c r="H35" s="472"/>
      <c r="I35" s="852"/>
      <c r="J35" s="986"/>
    </row>
    <row r="36" spans="1:10" ht="17.25" customHeight="1">
      <c r="A36" s="221">
        <v>19</v>
      </c>
      <c r="B36" s="847" t="s">
        <v>626</v>
      </c>
      <c r="C36" s="224">
        <v>7130310660</v>
      </c>
      <c r="D36" s="221" t="s">
        <v>1721</v>
      </c>
      <c r="E36" s="848">
        <v>10</v>
      </c>
      <c r="F36" s="474">
        <f>VLOOKUP(C36,'SOR RATE'!A63:D63,4,0)/1000</f>
        <v>144.477</v>
      </c>
      <c r="G36" s="984">
        <f>F36*E36</f>
        <v>1444.77</v>
      </c>
      <c r="H36" s="221">
        <v>10</v>
      </c>
      <c r="I36" s="222">
        <f>+F36</f>
        <v>144.477</v>
      </c>
      <c r="J36" s="984">
        <f t="shared" si="4"/>
        <v>1444.77</v>
      </c>
    </row>
    <row r="37" spans="1:10" ht="30" customHeight="1">
      <c r="A37" s="472">
        <v>20</v>
      </c>
      <c r="B37" s="246" t="s">
        <v>627</v>
      </c>
      <c r="C37" s="987">
        <v>7131310033</v>
      </c>
      <c r="D37" s="849" t="s">
        <v>83</v>
      </c>
      <c r="E37" s="848">
        <v>1</v>
      </c>
      <c r="F37" s="474">
        <f>VLOOKUP(C37,'SOR RATE'!A:D,4,0)</f>
        <v>3434</v>
      </c>
      <c r="G37" s="984">
        <f>F37*E37</f>
        <v>3434</v>
      </c>
      <c r="H37" s="221">
        <v>1</v>
      </c>
      <c r="I37" s="222">
        <f>+F37</f>
        <v>3434</v>
      </c>
      <c r="J37" s="984">
        <f t="shared" si="4"/>
        <v>3434</v>
      </c>
    </row>
    <row r="38" spans="1:10" ht="15.75" customHeight="1">
      <c r="A38" s="472">
        <v>21</v>
      </c>
      <c r="B38" s="246" t="s">
        <v>628</v>
      </c>
      <c r="C38" s="238">
        <v>7132406425</v>
      </c>
      <c r="D38" s="472" t="s">
        <v>1611</v>
      </c>
      <c r="E38" s="635">
        <v>1</v>
      </c>
      <c r="F38" s="474">
        <f>VLOOKUP(C38,'SOR RATE'!A:D,4,0)</f>
        <v>2553</v>
      </c>
      <c r="G38" s="986">
        <f>F38*E38</f>
        <v>2553</v>
      </c>
      <c r="H38" s="472">
        <v>1</v>
      </c>
      <c r="I38" s="852">
        <f>+F38</f>
        <v>2553</v>
      </c>
      <c r="J38" s="986">
        <f t="shared" si="4"/>
        <v>2553</v>
      </c>
    </row>
    <row r="39" spans="1:10" ht="17.25" customHeight="1">
      <c r="A39" s="221">
        <v>22</v>
      </c>
      <c r="B39" s="988" t="s">
        <v>629</v>
      </c>
      <c r="C39" s="221">
        <v>7131310037</v>
      </c>
      <c r="D39" s="221" t="s">
        <v>1611</v>
      </c>
      <c r="E39" s="848">
        <v>1</v>
      </c>
      <c r="F39" s="474">
        <f>VLOOKUP(C39,'SOR RATE'!A:D,4,0)</f>
        <v>870</v>
      </c>
      <c r="G39" s="984">
        <f>F39*E39</f>
        <v>870</v>
      </c>
      <c r="H39" s="221">
        <v>1</v>
      </c>
      <c r="I39" s="222">
        <f>+F39</f>
        <v>870</v>
      </c>
      <c r="J39" s="984">
        <f t="shared" si="4"/>
        <v>870</v>
      </c>
    </row>
    <row r="40" spans="1:10" ht="15">
      <c r="A40" s="627">
        <v>23</v>
      </c>
      <c r="B40" s="858" t="s">
        <v>1052</v>
      </c>
      <c r="C40" s="989"/>
      <c r="D40" s="990"/>
      <c r="E40" s="627"/>
      <c r="F40" s="991"/>
      <c r="G40" s="991">
        <f>SUM(G8:G39)</f>
        <v>55243.172</v>
      </c>
      <c r="H40" s="627"/>
      <c r="I40" s="991"/>
      <c r="J40" s="991">
        <f>SUM(J8:J39)</f>
        <v>79331.387</v>
      </c>
    </row>
    <row r="41" spans="1:10" ht="15">
      <c r="A41" s="472">
        <v>24</v>
      </c>
      <c r="B41" s="223" t="s">
        <v>1051</v>
      </c>
      <c r="C41" s="992"/>
      <c r="D41" s="993"/>
      <c r="E41" s="993"/>
      <c r="F41" s="224">
        <v>0.09</v>
      </c>
      <c r="G41" s="222">
        <f>G40*F41</f>
        <v>4971.88548</v>
      </c>
      <c r="H41" s="994"/>
      <c r="I41" s="224">
        <v>0.09</v>
      </c>
      <c r="J41" s="222">
        <f>J40*I41</f>
        <v>7139.82483</v>
      </c>
    </row>
    <row r="42" spans="1:10" ht="14.25">
      <c r="A42" s="952">
        <v>25</v>
      </c>
      <c r="B42" s="223" t="s">
        <v>91</v>
      </c>
      <c r="C42" s="995"/>
      <c r="D42" s="461" t="s">
        <v>1571</v>
      </c>
      <c r="E42" s="980">
        <v>2.9</v>
      </c>
      <c r="F42" s="222">
        <f>1664*1.27*1.0891*1.086275*1.1112*1.0685*1.06217</f>
        <v>3153.010200829536</v>
      </c>
      <c r="G42" s="222">
        <f>F42*E42</f>
        <v>9143.729582405655</v>
      </c>
      <c r="H42" s="221">
        <v>2.5</v>
      </c>
      <c r="I42" s="222">
        <f>+F42</f>
        <v>3153.010200829536</v>
      </c>
      <c r="J42" s="222">
        <f>I42*H42</f>
        <v>7882.5255020738405</v>
      </c>
    </row>
    <row r="43" spans="1:11" ht="30.75" customHeight="1">
      <c r="A43" s="952">
        <v>26</v>
      </c>
      <c r="B43" s="223" t="s">
        <v>517</v>
      </c>
      <c r="C43" s="996"/>
      <c r="D43" s="461" t="s">
        <v>83</v>
      </c>
      <c r="E43" s="997">
        <v>2</v>
      </c>
      <c r="F43" s="984">
        <f>+'A-1'!F51</f>
        <v>273.2594915401317</v>
      </c>
      <c r="G43" s="984">
        <f>E43*F43</f>
        <v>546.5189830802634</v>
      </c>
      <c r="H43" s="981"/>
      <c r="I43" s="984"/>
      <c r="J43" s="984"/>
      <c r="K43" s="520" t="s">
        <v>519</v>
      </c>
    </row>
    <row r="44" spans="1:10" ht="17.25" customHeight="1">
      <c r="A44" s="952">
        <v>27</v>
      </c>
      <c r="B44" s="998" t="s">
        <v>697</v>
      </c>
      <c r="C44" s="996"/>
      <c r="D44" s="998"/>
      <c r="E44" s="981"/>
      <c r="F44" s="984"/>
      <c r="G44" s="984">
        <v>7801.32</v>
      </c>
      <c r="H44" s="981"/>
      <c r="I44" s="984"/>
      <c r="J44" s="984">
        <v>8185.4</v>
      </c>
    </row>
    <row r="45" spans="1:10" ht="45" customHeight="1">
      <c r="A45" s="952">
        <v>28</v>
      </c>
      <c r="B45" s="998" t="s">
        <v>2122</v>
      </c>
      <c r="C45" s="996"/>
      <c r="D45" s="998"/>
      <c r="E45" s="981"/>
      <c r="F45" s="984"/>
      <c r="G45" s="984">
        <f>1.1*1.1*2289*1.2*1.1*1.1797*1.1402*0.9368*0.87</f>
        <v>4007.964304284355</v>
      </c>
      <c r="H45" s="981"/>
      <c r="I45" s="984"/>
      <c r="J45" s="984">
        <f>1.1*1.1*2289*1.2*1.1*1.1797*1.1402*0.9368*0.87</f>
        <v>4007.964304284355</v>
      </c>
    </row>
    <row r="46" spans="1:10" ht="15">
      <c r="A46" s="999">
        <v>29</v>
      </c>
      <c r="B46" s="858" t="s">
        <v>1053</v>
      </c>
      <c r="C46" s="996"/>
      <c r="D46" s="998"/>
      <c r="E46" s="981"/>
      <c r="F46" s="984"/>
      <c r="G46" s="991">
        <f>SUM(G40:G45)</f>
        <v>81714.59034977028</v>
      </c>
      <c r="H46" s="991"/>
      <c r="I46" s="991"/>
      <c r="J46" s="991">
        <f>SUM(J40:J45)</f>
        <v>106547.10163635819</v>
      </c>
    </row>
    <row r="47" spans="1:10" ht="32.25" customHeight="1">
      <c r="A47" s="952">
        <v>30</v>
      </c>
      <c r="B47" s="223" t="s">
        <v>1054</v>
      </c>
      <c r="C47" s="996"/>
      <c r="D47" s="998"/>
      <c r="E47" s="981"/>
      <c r="F47" s="984">
        <v>0.11</v>
      </c>
      <c r="G47" s="984">
        <f>G40*F47</f>
        <v>6076.74892</v>
      </c>
      <c r="H47" s="981"/>
      <c r="I47" s="984">
        <v>0.11</v>
      </c>
      <c r="J47" s="984">
        <f>J40*I47</f>
        <v>8726.45257</v>
      </c>
    </row>
    <row r="48" spans="1:10" ht="14.25">
      <c r="A48" s="472">
        <v>31</v>
      </c>
      <c r="B48" s="847" t="s">
        <v>1246</v>
      </c>
      <c r="C48" s="995"/>
      <c r="D48" s="847"/>
      <c r="E48" s="221"/>
      <c r="F48" s="221"/>
      <c r="G48" s="222">
        <f>G46+G47</f>
        <v>87791.33926977028</v>
      </c>
      <c r="H48" s="221"/>
      <c r="I48" s="222"/>
      <c r="J48" s="222">
        <f>J46+J47</f>
        <v>115273.55420635818</v>
      </c>
    </row>
    <row r="49" spans="1:10" ht="19.5" customHeight="1">
      <c r="A49" s="46">
        <v>32</v>
      </c>
      <c r="B49" s="956" t="s">
        <v>696</v>
      </c>
      <c r="C49" s="995"/>
      <c r="D49" s="847"/>
      <c r="E49" s="221"/>
      <c r="F49" s="221"/>
      <c r="G49" s="957">
        <f>ROUND(G48,0)</f>
        <v>87791</v>
      </c>
      <c r="H49" s="221"/>
      <c r="I49" s="222"/>
      <c r="J49" s="957">
        <f>ROUND(J48,0)</f>
        <v>115274</v>
      </c>
    </row>
    <row r="50" spans="1:10" ht="15.75">
      <c r="A50" s="88"/>
      <c r="B50" s="82"/>
      <c r="C50" s="89"/>
      <c r="D50" s="90"/>
      <c r="E50" s="87"/>
      <c r="F50" s="87"/>
      <c r="G50" s="54"/>
      <c r="H50" s="87"/>
      <c r="I50" s="53"/>
      <c r="J50" s="54"/>
    </row>
    <row r="51" spans="1:10" ht="15.75">
      <c r="A51" s="61"/>
      <c r="B51" s="182" t="s">
        <v>630</v>
      </c>
      <c r="C51" s="15"/>
      <c r="D51" s="14"/>
      <c r="E51" s="16"/>
      <c r="F51" s="16"/>
      <c r="G51" s="17"/>
      <c r="H51" s="16"/>
      <c r="I51" s="16"/>
      <c r="J51" s="16"/>
    </row>
    <row r="52" spans="1:10" ht="15">
      <c r="A52" s="183"/>
      <c r="B52" s="184" t="s">
        <v>1298</v>
      </c>
      <c r="C52" s="185"/>
      <c r="D52" s="184"/>
      <c r="E52" s="184"/>
      <c r="F52" s="184"/>
      <c r="G52" s="184"/>
      <c r="H52" s="184"/>
      <c r="I52" s="184"/>
      <c r="J52" s="184"/>
    </row>
    <row r="53" spans="1:10" ht="15">
      <c r="A53" s="183"/>
      <c r="B53" s="1493"/>
      <c r="C53" s="1493"/>
      <c r="D53" s="186"/>
      <c r="E53" s="186"/>
      <c r="F53" s="186"/>
      <c r="G53" s="186"/>
      <c r="H53" s="186"/>
      <c r="I53" s="186"/>
      <c r="J53" s="186"/>
    </row>
    <row r="54" spans="1:10" ht="12.75">
      <c r="A54" s="187"/>
      <c r="B54" s="188"/>
      <c r="C54" s="188"/>
      <c r="D54" s="188"/>
      <c r="E54" s="188"/>
      <c r="F54" s="188"/>
      <c r="G54" s="188"/>
      <c r="H54" s="188"/>
      <c r="I54" s="188"/>
      <c r="J54" s="188"/>
    </row>
    <row r="55" spans="1:3" ht="12.75">
      <c r="A55" s="61"/>
      <c r="C55" s="18"/>
    </row>
    <row r="56" spans="1:3" ht="12.75">
      <c r="A56" s="61"/>
      <c r="C56" s="18"/>
    </row>
    <row r="57" spans="1:3" ht="12.75">
      <c r="A57" s="61"/>
      <c r="C57" s="18"/>
    </row>
    <row r="63" spans="2:5" ht="15.75">
      <c r="B63" s="1460" t="s">
        <v>753</v>
      </c>
      <c r="C63" s="1460"/>
      <c r="D63" s="1460"/>
      <c r="E63" s="1460"/>
    </row>
    <row r="65" spans="1:10" ht="31.5" customHeight="1">
      <c r="A65" s="472">
        <v>1</v>
      </c>
      <c r="B65" s="223" t="s">
        <v>1654</v>
      </c>
      <c r="C65" s="224">
        <v>7130601072</v>
      </c>
      <c r="D65" s="461" t="s">
        <v>1576</v>
      </c>
      <c r="E65" s="614"/>
      <c r="F65" s="136"/>
      <c r="G65" s="136"/>
      <c r="H65" s="614"/>
      <c r="I65" s="1339"/>
      <c r="J65" s="136"/>
    </row>
    <row r="66" spans="1:10" ht="14.25">
      <c r="A66" s="1491">
        <v>6</v>
      </c>
      <c r="B66" s="223" t="s">
        <v>497</v>
      </c>
      <c r="C66" s="224">
        <v>7130810201</v>
      </c>
      <c r="D66" s="461" t="s">
        <v>83</v>
      </c>
      <c r="E66" s="1340"/>
      <c r="F66" s="136"/>
      <c r="G66" s="136"/>
      <c r="H66" s="614"/>
      <c r="I66" s="1339"/>
      <c r="J66" s="136"/>
    </row>
    <row r="67" spans="1:10" ht="14.25">
      <c r="A67" s="1491"/>
      <c r="B67" s="223" t="s">
        <v>498</v>
      </c>
      <c r="C67" s="224">
        <v>7130810251</v>
      </c>
      <c r="D67" s="461" t="s">
        <v>83</v>
      </c>
      <c r="E67" s="1340"/>
      <c r="F67" s="136"/>
      <c r="G67" s="136"/>
      <c r="H67" s="614"/>
      <c r="I67" s="1339"/>
      <c r="J67" s="136"/>
    </row>
  </sheetData>
  <sheetProtection/>
  <mergeCells count="18">
    <mergeCell ref="B63:E63"/>
    <mergeCell ref="A8:A9"/>
    <mergeCell ref="A66:A67"/>
    <mergeCell ref="K24:L24"/>
    <mergeCell ref="L34:M34"/>
    <mergeCell ref="A26:A31"/>
    <mergeCell ref="A19:A20"/>
    <mergeCell ref="B53:C53"/>
    <mergeCell ref="A5:A6"/>
    <mergeCell ref="B5:B6"/>
    <mergeCell ref="C5:C6"/>
    <mergeCell ref="A14:A17"/>
    <mergeCell ref="C1:G1"/>
    <mergeCell ref="H4:I4"/>
    <mergeCell ref="E5:G5"/>
    <mergeCell ref="H5:J5"/>
    <mergeCell ref="D5:D6"/>
    <mergeCell ref="B3:I3"/>
  </mergeCells>
  <printOptions/>
  <pageMargins left="0.75" right="0.15" top="0.65" bottom="0.28" header="0.5" footer="0.17"/>
  <pageSetup horizontalDpi="600" verticalDpi="600" orientation="landscape" r:id="rId1"/>
  <ignoredErrors>
    <ignoredError sqref="I17 I24 F24" formula="1"/>
  </ignoredErrors>
</worksheet>
</file>

<file path=xl/worksheets/sheet15.xml><?xml version="1.0" encoding="utf-8"?>
<worksheet xmlns="http://schemas.openxmlformats.org/spreadsheetml/2006/main" xmlns:r="http://schemas.openxmlformats.org/officeDocument/2006/relationships">
  <sheetPr>
    <tabColor indexed="15"/>
  </sheetPr>
  <dimension ref="A1:N41"/>
  <sheetViews>
    <sheetView zoomScalePageLayoutView="0" workbookViewId="0" topLeftCell="A5">
      <pane xSplit="2" ySplit="3" topLeftCell="C53" activePane="bottomRight" state="frozen"/>
      <selection pane="topLeft" activeCell="A5" sqref="A5"/>
      <selection pane="topRight" activeCell="C5" sqref="C5"/>
      <selection pane="bottomLeft" activeCell="A8" sqref="A8"/>
      <selection pane="bottomRight" activeCell="J11" sqref="J11"/>
    </sheetView>
  </sheetViews>
  <sheetFormatPr defaultColWidth="9.140625" defaultRowHeight="12.75"/>
  <cols>
    <col min="1" max="1" width="4.57421875" style="2" customWidth="1"/>
    <col min="2" max="2" width="44.140625" style="2" customWidth="1"/>
    <col min="3" max="3" width="11.57421875" style="2" customWidth="1"/>
    <col min="4" max="4" width="5.57421875" style="2" customWidth="1"/>
    <col min="5" max="5" width="9.7109375" style="2" customWidth="1"/>
    <col min="6" max="6" width="5.57421875" style="2" customWidth="1"/>
    <col min="7" max="7" width="13.8515625" style="2" customWidth="1"/>
    <col min="8" max="8" width="14.28125" style="2" customWidth="1"/>
    <col min="9" max="9" width="11.8515625" style="2" customWidth="1"/>
    <col min="10" max="11" width="13.8515625" style="2" customWidth="1"/>
    <col min="12" max="16384" width="9.140625" style="2" customWidth="1"/>
  </cols>
  <sheetData>
    <row r="1" spans="2:5" ht="18">
      <c r="B1" s="1400" t="s">
        <v>1487</v>
      </c>
      <c r="C1" s="1400"/>
      <c r="D1" s="1400"/>
      <c r="E1" s="1400"/>
    </row>
    <row r="2" ht="15">
      <c r="H2" s="430" t="s">
        <v>244</v>
      </c>
    </row>
    <row r="3" spans="2:8" ht="42.75" customHeight="1">
      <c r="B3" s="1494" t="s">
        <v>1302</v>
      </c>
      <c r="C3" s="1494"/>
      <c r="D3" s="1494"/>
      <c r="E3" s="1494"/>
      <c r="F3" s="1494"/>
      <c r="G3" s="1494"/>
      <c r="H3" s="1494"/>
    </row>
    <row r="4" spans="2:9" ht="12.75" customHeight="1">
      <c r="B4" s="425"/>
      <c r="C4" s="425"/>
      <c r="D4" s="425"/>
      <c r="E4" s="425"/>
      <c r="F4" s="425"/>
      <c r="G4" s="425"/>
      <c r="H4" s="425"/>
      <c r="I4" s="97"/>
    </row>
    <row r="5" spans="1:8" ht="45.75" customHeight="1">
      <c r="A5" s="1479" t="s">
        <v>2104</v>
      </c>
      <c r="B5" s="1479" t="s">
        <v>79</v>
      </c>
      <c r="C5" s="1479" t="s">
        <v>600</v>
      </c>
      <c r="D5" s="1479" t="s">
        <v>80</v>
      </c>
      <c r="E5" s="1479" t="s">
        <v>601</v>
      </c>
      <c r="F5" s="1479" t="s">
        <v>86</v>
      </c>
      <c r="G5" s="1453" t="s">
        <v>296</v>
      </c>
      <c r="H5" s="1453"/>
    </row>
    <row r="6" spans="1:14" ht="45" customHeight="1">
      <c r="A6" s="1479"/>
      <c r="B6" s="1479"/>
      <c r="C6" s="1479"/>
      <c r="D6" s="1479"/>
      <c r="E6" s="1479"/>
      <c r="F6" s="1479"/>
      <c r="G6" s="46" t="s">
        <v>1136</v>
      </c>
      <c r="H6" s="46" t="s">
        <v>1137</v>
      </c>
      <c r="I6" s="434"/>
      <c r="J6" s="434"/>
      <c r="K6" s="145"/>
      <c r="L6" s="435"/>
      <c r="M6" s="435"/>
      <c r="N6" s="145"/>
    </row>
    <row r="7" spans="1:8" ht="13.5">
      <c r="A7" s="170">
        <v>1</v>
      </c>
      <c r="B7" s="170">
        <v>2</v>
      </c>
      <c r="C7" s="170">
        <v>3</v>
      </c>
      <c r="D7" s="170">
        <v>4</v>
      </c>
      <c r="E7" s="170">
        <v>5</v>
      </c>
      <c r="F7" s="170">
        <v>6</v>
      </c>
      <c r="G7" s="170">
        <v>7</v>
      </c>
      <c r="H7" s="170">
        <v>8</v>
      </c>
    </row>
    <row r="8" spans="1:13" ht="28.5" customHeight="1">
      <c r="A8" s="239">
        <v>1</v>
      </c>
      <c r="B8" s="231" t="s">
        <v>1940</v>
      </c>
      <c r="C8" s="235">
        <v>7130601958</v>
      </c>
      <c r="D8" s="232" t="s">
        <v>1576</v>
      </c>
      <c r="E8" s="240">
        <f>VLOOKUP(C8,'SOR RATE'!A:D,4,0)/1000</f>
        <v>32.575</v>
      </c>
      <c r="F8" s="473">
        <v>482.3</v>
      </c>
      <c r="G8" s="240">
        <f>E8*F8</f>
        <v>15710.922500000002</v>
      </c>
      <c r="H8" s="240">
        <f>E8*F8</f>
        <v>15710.922500000002</v>
      </c>
      <c r="I8" s="42"/>
      <c r="J8" s="42"/>
      <c r="K8" s="104"/>
      <c r="L8" s="104"/>
      <c r="M8" s="104"/>
    </row>
    <row r="9" spans="1:8" ht="28.5" customHeight="1">
      <c r="A9" s="239">
        <v>2</v>
      </c>
      <c r="B9" s="231" t="s">
        <v>1303</v>
      </c>
      <c r="C9" s="235"/>
      <c r="D9" s="239" t="s">
        <v>1333</v>
      </c>
      <c r="E9" s="240">
        <v>676</v>
      </c>
      <c r="F9" s="239">
        <v>50</v>
      </c>
      <c r="G9" s="240">
        <f>E9*F9</f>
        <v>33800</v>
      </c>
      <c r="H9" s="239"/>
    </row>
    <row r="10" spans="1:8" ht="29.25" customHeight="1">
      <c r="A10" s="239">
        <v>3</v>
      </c>
      <c r="B10" s="231" t="s">
        <v>1135</v>
      </c>
      <c r="C10" s="235"/>
      <c r="D10" s="239" t="s">
        <v>1333</v>
      </c>
      <c r="E10" s="240">
        <v>768</v>
      </c>
      <c r="F10" s="239">
        <v>50</v>
      </c>
      <c r="G10" s="239"/>
      <c r="H10" s="240">
        <f aca="true" t="shared" si="0" ref="H10:H15">E10*F10</f>
        <v>38400</v>
      </c>
    </row>
    <row r="11" spans="1:8" ht="15" customHeight="1">
      <c r="A11" s="239">
        <v>4</v>
      </c>
      <c r="B11" s="901" t="s">
        <v>501</v>
      </c>
      <c r="C11" s="235">
        <v>7130820011</v>
      </c>
      <c r="D11" s="239" t="s">
        <v>1330</v>
      </c>
      <c r="E11" s="240">
        <f>VLOOKUP(C11,'SOR RATE'!A:D,4,0)</f>
        <v>307</v>
      </c>
      <c r="F11" s="239">
        <v>3</v>
      </c>
      <c r="G11" s="240">
        <f>E11*F11</f>
        <v>921</v>
      </c>
      <c r="H11" s="240">
        <f t="shared" si="0"/>
        <v>921</v>
      </c>
    </row>
    <row r="12" spans="1:8" ht="16.5" customHeight="1">
      <c r="A12" s="239">
        <v>5</v>
      </c>
      <c r="B12" s="965" t="s">
        <v>602</v>
      </c>
      <c r="C12" s="239">
        <v>7130870013</v>
      </c>
      <c r="D12" s="239" t="s">
        <v>1331</v>
      </c>
      <c r="E12" s="240">
        <f>VLOOKUP(C12,'SOR RATE'!A:D,4,0)</f>
        <v>97</v>
      </c>
      <c r="F12" s="239">
        <v>1</v>
      </c>
      <c r="G12" s="240">
        <f>E12*F12</f>
        <v>97</v>
      </c>
      <c r="H12" s="240">
        <f t="shared" si="0"/>
        <v>97</v>
      </c>
    </row>
    <row r="13" spans="1:8" ht="15.75" customHeight="1">
      <c r="A13" s="239">
        <v>6</v>
      </c>
      <c r="B13" s="967" t="s">
        <v>603</v>
      </c>
      <c r="C13" s="239">
        <v>7130810681</v>
      </c>
      <c r="D13" s="239" t="s">
        <v>1331</v>
      </c>
      <c r="E13" s="240">
        <f>VLOOKUP(C13,'SOR RATE'!A:D,4,0)</f>
        <v>2667.12</v>
      </c>
      <c r="F13" s="239">
        <v>2</v>
      </c>
      <c r="G13" s="240">
        <f>E13*F13</f>
        <v>5334.24</v>
      </c>
      <c r="H13" s="240">
        <f t="shared" si="0"/>
        <v>5334.24</v>
      </c>
    </row>
    <row r="14" spans="1:8" ht="14.25" customHeight="1">
      <c r="A14" s="239">
        <v>7</v>
      </c>
      <c r="B14" s="967" t="s">
        <v>604</v>
      </c>
      <c r="C14" s="239">
        <v>7130860033</v>
      </c>
      <c r="D14" s="239" t="s">
        <v>83</v>
      </c>
      <c r="E14" s="240">
        <f>VLOOKUP(C14,'SOR RATE'!A:D,4,0)</f>
        <v>629</v>
      </c>
      <c r="F14" s="239">
        <v>2</v>
      </c>
      <c r="G14" s="240">
        <f>E14*F14</f>
        <v>1258</v>
      </c>
      <c r="H14" s="240">
        <f t="shared" si="0"/>
        <v>1258</v>
      </c>
    </row>
    <row r="15" spans="1:8" ht="16.5" customHeight="1">
      <c r="A15" s="239">
        <v>8</v>
      </c>
      <c r="B15" s="967" t="s">
        <v>605</v>
      </c>
      <c r="C15" s="239">
        <v>7130860076</v>
      </c>
      <c r="D15" s="239" t="s">
        <v>1576</v>
      </c>
      <c r="E15" s="240">
        <f>VLOOKUP(C15,'SOR RATE'!A:D,4,0)/1000</f>
        <v>58.65</v>
      </c>
      <c r="F15" s="239">
        <v>17</v>
      </c>
      <c r="G15" s="240">
        <f>E15*F15</f>
        <v>997.05</v>
      </c>
      <c r="H15" s="240">
        <f t="shared" si="0"/>
        <v>997.05</v>
      </c>
    </row>
    <row r="16" spans="1:10" ht="30" customHeight="1">
      <c r="A16" s="1484">
        <v>9</v>
      </c>
      <c r="B16" s="900" t="s">
        <v>1038</v>
      </c>
      <c r="C16" s="239"/>
      <c r="D16" s="969" t="s">
        <v>1571</v>
      </c>
      <c r="E16" s="970"/>
      <c r="F16" s="241">
        <f>0.65+0.6</f>
        <v>1.25</v>
      </c>
      <c r="G16" s="240"/>
      <c r="H16" s="240"/>
      <c r="I16" s="1"/>
      <c r="J16" s="1"/>
    </row>
    <row r="17" spans="1:8" ht="16.5" customHeight="1">
      <c r="A17" s="1485"/>
      <c r="B17" s="971" t="s">
        <v>1708</v>
      </c>
      <c r="C17" s="239">
        <v>7130200401</v>
      </c>
      <c r="D17" s="239" t="s">
        <v>1576</v>
      </c>
      <c r="E17" s="240">
        <f>VLOOKUP(C17,'SOR RATE'!A:D,4,0)/50</f>
        <v>4.9</v>
      </c>
      <c r="F17" s="239">
        <f>208*1.25</f>
        <v>260</v>
      </c>
      <c r="G17" s="240">
        <f aca="true" t="shared" si="1" ref="G17:G22">E17*F17</f>
        <v>1274</v>
      </c>
      <c r="H17" s="240">
        <f aca="true" t="shared" si="2" ref="H17:H22">E17*F17</f>
        <v>1274</v>
      </c>
    </row>
    <row r="18" spans="1:8" ht="14.25" customHeight="1">
      <c r="A18" s="242">
        <v>10</v>
      </c>
      <c r="B18" s="972" t="s">
        <v>1572</v>
      </c>
      <c r="C18" s="235">
        <v>7130211158</v>
      </c>
      <c r="D18" s="232" t="s">
        <v>1573</v>
      </c>
      <c r="E18" s="240">
        <f>VLOOKUP(C18,'SOR RATE'!A:D,4,0)</f>
        <v>133</v>
      </c>
      <c r="F18" s="239">
        <v>1</v>
      </c>
      <c r="G18" s="240">
        <f t="shared" si="1"/>
        <v>133</v>
      </c>
      <c r="H18" s="240">
        <f t="shared" si="2"/>
        <v>133</v>
      </c>
    </row>
    <row r="19" spans="1:8" ht="14.25" customHeight="1">
      <c r="A19" s="239">
        <v>11</v>
      </c>
      <c r="B19" s="972" t="s">
        <v>1574</v>
      </c>
      <c r="C19" s="235">
        <v>7130210809</v>
      </c>
      <c r="D19" s="232" t="s">
        <v>1573</v>
      </c>
      <c r="E19" s="240">
        <f>VLOOKUP(C19,'SOR RATE'!A:D,4,0)</f>
        <v>297</v>
      </c>
      <c r="F19" s="239">
        <v>1</v>
      </c>
      <c r="G19" s="240">
        <f t="shared" si="1"/>
        <v>297</v>
      </c>
      <c r="H19" s="240">
        <f t="shared" si="2"/>
        <v>297</v>
      </c>
    </row>
    <row r="20" spans="1:11" ht="14.25" customHeight="1">
      <c r="A20" s="242">
        <v>12</v>
      </c>
      <c r="B20" s="231" t="s">
        <v>1438</v>
      </c>
      <c r="C20" s="235">
        <v>7130610206</v>
      </c>
      <c r="D20" s="232" t="s">
        <v>1576</v>
      </c>
      <c r="E20" s="240">
        <f>VLOOKUP(C20,'SOR RATE'!A:D,4,0)/1000</f>
        <v>63.963</v>
      </c>
      <c r="F20" s="239">
        <v>2</v>
      </c>
      <c r="G20" s="240">
        <f t="shared" si="1"/>
        <v>127.926</v>
      </c>
      <c r="H20" s="240">
        <f t="shared" si="2"/>
        <v>127.926</v>
      </c>
      <c r="I20" s="1411" t="s">
        <v>2136</v>
      </c>
      <c r="J20" s="1412"/>
      <c r="K20" s="104"/>
    </row>
    <row r="21" spans="1:8" ht="15" customHeight="1">
      <c r="A21" s="239">
        <v>13</v>
      </c>
      <c r="B21" s="972" t="s">
        <v>2114</v>
      </c>
      <c r="C21" s="235">
        <v>7130880041</v>
      </c>
      <c r="D21" s="232" t="s">
        <v>83</v>
      </c>
      <c r="E21" s="240">
        <f>VLOOKUP(C21,'SOR RATE'!A:D,4,0)</f>
        <v>62</v>
      </c>
      <c r="F21" s="239">
        <v>1</v>
      </c>
      <c r="G21" s="240">
        <f t="shared" si="1"/>
        <v>62</v>
      </c>
      <c r="H21" s="240">
        <f t="shared" si="2"/>
        <v>62</v>
      </c>
    </row>
    <row r="22" spans="1:8" ht="14.25" customHeight="1">
      <c r="A22" s="242">
        <v>14</v>
      </c>
      <c r="B22" s="231" t="s">
        <v>287</v>
      </c>
      <c r="C22" s="235">
        <v>7130810692</v>
      </c>
      <c r="D22" s="232" t="s">
        <v>83</v>
      </c>
      <c r="E22" s="240">
        <f>VLOOKUP(C22,'SOR RATE'!A:D,4,0)</f>
        <v>249.66</v>
      </c>
      <c r="F22" s="239">
        <v>4</v>
      </c>
      <c r="G22" s="240">
        <f t="shared" si="1"/>
        <v>998.64</v>
      </c>
      <c r="H22" s="240">
        <f t="shared" si="2"/>
        <v>998.64</v>
      </c>
    </row>
    <row r="23" spans="1:8" ht="13.5" customHeight="1">
      <c r="A23" s="242">
        <v>15</v>
      </c>
      <c r="B23" s="972" t="s">
        <v>606</v>
      </c>
      <c r="C23" s="235">
        <v>7130620609</v>
      </c>
      <c r="D23" s="232" t="s">
        <v>1576</v>
      </c>
      <c r="E23" s="240">
        <f>VLOOKUP(C23,'SOR RATE'!A:D,4,0)</f>
        <v>63</v>
      </c>
      <c r="F23" s="239">
        <v>5</v>
      </c>
      <c r="G23" s="240">
        <f>E23*F23</f>
        <v>315</v>
      </c>
      <c r="H23" s="240">
        <f>E23*F23</f>
        <v>315</v>
      </c>
    </row>
    <row r="24" spans="1:8" ht="13.5" customHeight="1">
      <c r="A24" s="239">
        <v>16</v>
      </c>
      <c r="B24" s="972" t="s">
        <v>607</v>
      </c>
      <c r="C24" s="235">
        <v>7130620614</v>
      </c>
      <c r="D24" s="232" t="s">
        <v>1576</v>
      </c>
      <c r="E24" s="240">
        <f>VLOOKUP(C24,'SOR RATE'!A:D,4,0)</f>
        <v>62</v>
      </c>
      <c r="F24" s="239">
        <v>1</v>
      </c>
      <c r="G24" s="240">
        <f>E24*F24</f>
        <v>62</v>
      </c>
      <c r="H24" s="240">
        <f>E24*F24</f>
        <v>62</v>
      </c>
    </row>
    <row r="25" spans="1:13" ht="16.5" customHeight="1">
      <c r="A25" s="239">
        <v>17</v>
      </c>
      <c r="B25" s="901" t="s">
        <v>512</v>
      </c>
      <c r="C25" s="239">
        <v>7130320044</v>
      </c>
      <c r="D25" s="232" t="s">
        <v>1331</v>
      </c>
      <c r="E25" s="240">
        <f>VLOOKUP(C25,'SOR RATE'!A:D,4,0)</f>
        <v>842</v>
      </c>
      <c r="F25" s="239">
        <v>2</v>
      </c>
      <c r="G25" s="240">
        <f>E25*F25</f>
        <v>1684</v>
      </c>
      <c r="H25" s="240">
        <f>+G25</f>
        <v>1684</v>
      </c>
      <c r="I25" s="523" t="s">
        <v>289</v>
      </c>
      <c r="J25" s="249"/>
      <c r="K25" s="207"/>
      <c r="L25" s="107"/>
      <c r="M25" s="107"/>
    </row>
    <row r="26" spans="1:11" ht="41.25" customHeight="1">
      <c r="A26" s="239">
        <v>18</v>
      </c>
      <c r="B26" s="901" t="s">
        <v>2146</v>
      </c>
      <c r="C26" s="239">
        <v>7130642039</v>
      </c>
      <c r="D26" s="243" t="s">
        <v>83</v>
      </c>
      <c r="E26" s="240">
        <f>VLOOKUP(C26,'SOR RATE'!A:D,4,0)</f>
        <v>770</v>
      </c>
      <c r="F26" s="239">
        <v>3</v>
      </c>
      <c r="G26" s="240">
        <f>E26*F26</f>
        <v>2310</v>
      </c>
      <c r="H26" s="240">
        <f>+G26</f>
        <v>2310</v>
      </c>
      <c r="I26" s="106"/>
      <c r="J26" s="105"/>
      <c r="K26" s="105"/>
    </row>
    <row r="27" spans="1:11" ht="16.5" customHeight="1">
      <c r="A27" s="239">
        <v>19</v>
      </c>
      <c r="B27" s="901" t="s">
        <v>403</v>
      </c>
      <c r="C27" s="243">
        <v>7130320045</v>
      </c>
      <c r="D27" s="243" t="s">
        <v>83</v>
      </c>
      <c r="E27" s="240">
        <f>VLOOKUP(C27,'SOR RATE'!A:D,4,0)</f>
        <v>25</v>
      </c>
      <c r="F27" s="239">
        <v>25</v>
      </c>
      <c r="G27" s="240">
        <f>E27*F27</f>
        <v>625</v>
      </c>
      <c r="H27" s="240">
        <f>+G27</f>
        <v>625</v>
      </c>
      <c r="I27" s="523" t="s">
        <v>2003</v>
      </c>
      <c r="J27" s="249"/>
      <c r="K27" s="105"/>
    </row>
    <row r="28" spans="1:11" ht="15.75" customHeight="1">
      <c r="A28" s="244">
        <v>20</v>
      </c>
      <c r="B28" s="905" t="s">
        <v>1052</v>
      </c>
      <c r="C28" s="245"/>
      <c r="D28" s="245"/>
      <c r="E28" s="244"/>
      <c r="F28" s="244"/>
      <c r="G28" s="973">
        <f>SUM(G8:G27)</f>
        <v>66006.7785</v>
      </c>
      <c r="H28" s="973">
        <f>SUM(H8:H27)</f>
        <v>70606.7785</v>
      </c>
      <c r="J28" s="194"/>
      <c r="K28" s="194"/>
    </row>
    <row r="29" spans="1:8" ht="15.75" customHeight="1">
      <c r="A29" s="239">
        <v>21</v>
      </c>
      <c r="B29" s="231" t="s">
        <v>1051</v>
      </c>
      <c r="C29" s="242"/>
      <c r="D29" s="242"/>
      <c r="E29" s="239">
        <v>0.09</v>
      </c>
      <c r="F29" s="239"/>
      <c r="G29" s="240">
        <f>E29*G28</f>
        <v>5940.610065</v>
      </c>
      <c r="H29" s="240">
        <f>E29*H28</f>
        <v>6354.610065</v>
      </c>
    </row>
    <row r="30" spans="1:8" ht="14.25" customHeight="1">
      <c r="A30" s="242">
        <v>22</v>
      </c>
      <c r="B30" s="972" t="s">
        <v>852</v>
      </c>
      <c r="C30" s="242"/>
      <c r="D30" s="242"/>
      <c r="E30" s="240">
        <f>25000*1.086275*1.1112*1.0685*1.06217</f>
        <v>34248.42337268008</v>
      </c>
      <c r="F30" s="239">
        <v>1</v>
      </c>
      <c r="G30" s="240">
        <f>E30*F30</f>
        <v>34248.42337268008</v>
      </c>
      <c r="H30" s="240">
        <f>E30*F30</f>
        <v>34248.42337268008</v>
      </c>
    </row>
    <row r="31" spans="1:8" ht="15.75" customHeight="1">
      <c r="A31" s="1000">
        <v>23</v>
      </c>
      <c r="B31" s="1001" t="s">
        <v>608</v>
      </c>
      <c r="C31" s="242"/>
      <c r="D31" s="242"/>
      <c r="E31" s="240">
        <f>10000*1.1797*1.1402*0.9368*0.87</f>
        <v>10962.7308260304</v>
      </c>
      <c r="F31" s="239">
        <v>1</v>
      </c>
      <c r="G31" s="240">
        <f>E31*F31</f>
        <v>10962.7308260304</v>
      </c>
      <c r="H31" s="240">
        <f>E31*F31</f>
        <v>10962.7308260304</v>
      </c>
    </row>
    <row r="32" spans="1:8" ht="15" customHeight="1">
      <c r="A32" s="1000">
        <v>24</v>
      </c>
      <c r="B32" s="1001" t="s">
        <v>609</v>
      </c>
      <c r="C32" s="242"/>
      <c r="D32" s="239" t="s">
        <v>1571</v>
      </c>
      <c r="E32" s="907">
        <f>1664*1.27*1.0891*1.086275*1.1112*1.0685*1.06217</f>
        <v>3153.010200829536</v>
      </c>
      <c r="F32" s="239">
        <v>1.25</v>
      </c>
      <c r="G32" s="240">
        <f>E32*F32</f>
        <v>3941.2627510369202</v>
      </c>
      <c r="H32" s="240">
        <f>E32*F32</f>
        <v>3941.2627510369202</v>
      </c>
    </row>
    <row r="33" spans="1:8" ht="15" customHeight="1">
      <c r="A33" s="1000">
        <v>25</v>
      </c>
      <c r="B33" s="1002" t="s">
        <v>240</v>
      </c>
      <c r="C33" s="975"/>
      <c r="D33" s="243" t="s">
        <v>83</v>
      </c>
      <c r="E33" s="976">
        <f>1417.73*1.086275*1.1112*1.0685*1.06217</f>
        <v>1942.2006907259895</v>
      </c>
      <c r="F33" s="239">
        <v>2</v>
      </c>
      <c r="G33" s="240">
        <f>E33*F33</f>
        <v>3884.401381451979</v>
      </c>
      <c r="H33" s="240">
        <f>E33*F33</f>
        <v>3884.401381451979</v>
      </c>
    </row>
    <row r="34" spans="1:8" ht="14.25" customHeight="1">
      <c r="A34" s="245">
        <v>26</v>
      </c>
      <c r="B34" s="905" t="s">
        <v>1053</v>
      </c>
      <c r="C34" s="975"/>
      <c r="D34" s="243"/>
      <c r="E34" s="976"/>
      <c r="F34" s="239"/>
      <c r="G34" s="973">
        <f>SUM(G28:G33)</f>
        <v>124984.2068961994</v>
      </c>
      <c r="H34" s="973">
        <f>SUM(H28:H33)</f>
        <v>129998.2068961994</v>
      </c>
    </row>
    <row r="35" spans="1:8" ht="28.5" customHeight="1">
      <c r="A35" s="969">
        <v>27</v>
      </c>
      <c r="B35" s="231" t="s">
        <v>1054</v>
      </c>
      <c r="C35" s="975"/>
      <c r="D35" s="243"/>
      <c r="E35" s="976">
        <v>0.11</v>
      </c>
      <c r="F35" s="239"/>
      <c r="G35" s="240">
        <f>G28*E35</f>
        <v>7260.745635</v>
      </c>
      <c r="H35" s="240">
        <f>H28*E35</f>
        <v>7766.745635</v>
      </c>
    </row>
    <row r="36" spans="1:8" ht="15">
      <c r="A36" s="245">
        <v>28</v>
      </c>
      <c r="B36" s="977" t="s">
        <v>610</v>
      </c>
      <c r="C36" s="242"/>
      <c r="D36" s="242"/>
      <c r="E36" s="242"/>
      <c r="F36" s="242"/>
      <c r="G36" s="939">
        <f>G34+G35</f>
        <v>132244.9525311994</v>
      </c>
      <c r="H36" s="939">
        <f>H34+H35</f>
        <v>137764.9525311994</v>
      </c>
    </row>
    <row r="37" spans="1:8" ht="15">
      <c r="A37" s="245">
        <v>29</v>
      </c>
      <c r="B37" s="977" t="s">
        <v>453</v>
      </c>
      <c r="C37" s="779"/>
      <c r="D37" s="779"/>
      <c r="E37" s="779"/>
      <c r="F37" s="779"/>
      <c r="G37" s="939">
        <f>ROUND(G36,0)</f>
        <v>132245</v>
      </c>
      <c r="H37" s="939">
        <f>ROUND(H36,0)</f>
        <v>137765</v>
      </c>
    </row>
    <row r="38" ht="9" customHeight="1"/>
    <row r="39" spans="1:6" ht="12" customHeight="1">
      <c r="A39" s="171"/>
      <c r="B39" s="105"/>
      <c r="C39" s="105"/>
      <c r="D39" s="105"/>
      <c r="E39" s="105"/>
      <c r="F39" s="105"/>
    </row>
    <row r="41" ht="12.75" customHeight="1">
      <c r="A41" s="150"/>
    </row>
  </sheetData>
  <sheetProtection/>
  <mergeCells count="11">
    <mergeCell ref="A16:A17"/>
    <mergeCell ref="E5:E6"/>
    <mergeCell ref="D5:D6"/>
    <mergeCell ref="C5:C6"/>
    <mergeCell ref="A5:A6"/>
    <mergeCell ref="I20:J20"/>
    <mergeCell ref="B1:E1"/>
    <mergeCell ref="B3:H3"/>
    <mergeCell ref="B5:B6"/>
    <mergeCell ref="G5:H5"/>
    <mergeCell ref="F5:F6"/>
  </mergeCells>
  <printOptions/>
  <pageMargins left="0.84" right="0.12" top="0.72" bottom="0.32" header="0.5" footer="0.16"/>
  <pageSetup horizontalDpi="600" verticalDpi="600" orientation="landscape" scale="115" r:id="rId1"/>
</worksheet>
</file>

<file path=xl/worksheets/sheet16.xml><?xml version="1.0" encoding="utf-8"?>
<worksheet xmlns="http://schemas.openxmlformats.org/spreadsheetml/2006/main" xmlns:r="http://schemas.openxmlformats.org/officeDocument/2006/relationships">
  <sheetPr>
    <tabColor indexed="15"/>
  </sheetPr>
  <dimension ref="A1:M98"/>
  <sheetViews>
    <sheetView zoomScalePageLayoutView="0" workbookViewId="0" topLeftCell="A1">
      <pane xSplit="2" ySplit="9" topLeftCell="C28" activePane="bottomRight" state="frozen"/>
      <selection pane="topLeft" activeCell="A1" sqref="A1"/>
      <selection pane="topRight" activeCell="C1" sqref="C1"/>
      <selection pane="bottomLeft" activeCell="A10" sqref="A10"/>
      <selection pane="bottomRight" activeCell="C10" sqref="C10"/>
    </sheetView>
  </sheetViews>
  <sheetFormatPr defaultColWidth="9.140625" defaultRowHeight="12.75"/>
  <cols>
    <col min="1" max="1" width="5.28125" style="2" customWidth="1"/>
    <col min="2" max="2" width="67.8515625" style="2" customWidth="1"/>
    <col min="3" max="3" width="13.421875" style="2" customWidth="1"/>
    <col min="4" max="4" width="6.7109375" style="2" customWidth="1"/>
    <col min="5" max="5" width="10.7109375" style="2" customWidth="1"/>
    <col min="6" max="6" width="6.421875" style="2" customWidth="1"/>
    <col min="7" max="8" width="12.7109375" style="2" customWidth="1"/>
    <col min="9" max="9" width="29.28125" style="2" customWidth="1"/>
    <col min="10" max="11" width="30.00390625" style="2" customWidth="1"/>
    <col min="12" max="12" width="11.28125" style="2" customWidth="1"/>
    <col min="13" max="16" width="9.140625" style="2" customWidth="1"/>
    <col min="17" max="17" width="11.00390625" style="2" bestFit="1" customWidth="1"/>
    <col min="18" max="16384" width="9.140625" style="2" customWidth="1"/>
  </cols>
  <sheetData>
    <row r="1" spans="1:10" ht="18">
      <c r="A1" s="145"/>
      <c r="B1" s="1477" t="s">
        <v>1280</v>
      </c>
      <c r="C1" s="1477"/>
      <c r="D1" s="1477"/>
      <c r="E1" s="1477"/>
      <c r="F1" s="516"/>
      <c r="G1" s="80"/>
      <c r="H1" s="80"/>
      <c r="I1" s="80"/>
      <c r="J1" s="80"/>
    </row>
    <row r="2" spans="1:8" ht="11.25" customHeight="1">
      <c r="A2" s="81"/>
      <c r="B2" s="81"/>
      <c r="C2" s="81"/>
      <c r="D2" s="81"/>
      <c r="E2" s="81"/>
      <c r="F2" s="81"/>
      <c r="G2" s="81"/>
      <c r="H2" s="81"/>
    </row>
    <row r="3" spans="1:10" ht="47.25" customHeight="1">
      <c r="A3" s="82"/>
      <c r="B3" s="1415" t="s">
        <v>1732</v>
      </c>
      <c r="C3" s="1415"/>
      <c r="D3" s="1415"/>
      <c r="E3" s="1415"/>
      <c r="F3" s="1415"/>
      <c r="G3" s="1415"/>
      <c r="H3" s="82"/>
      <c r="I3" s="45"/>
      <c r="J3" s="45"/>
    </row>
    <row r="4" spans="1:12" ht="10.5" customHeight="1">
      <c r="A4" s="77"/>
      <c r="B4" s="77"/>
      <c r="C4" s="77"/>
      <c r="D4" s="77"/>
      <c r="E4" s="77"/>
      <c r="F4" s="77"/>
      <c r="G4" s="77"/>
      <c r="H4" s="77"/>
      <c r="I4" s="45"/>
      <c r="J4" s="437"/>
      <c r="K4" s="189"/>
      <c r="L4" s="189"/>
    </row>
    <row r="5" spans="1:10" ht="15.75">
      <c r="A5" s="76"/>
      <c r="B5" s="76"/>
      <c r="C5" s="76"/>
      <c r="D5" s="76"/>
      <c r="F5" s="76"/>
      <c r="G5" s="430" t="s">
        <v>244</v>
      </c>
      <c r="H5" s="196"/>
      <c r="I5" s="174"/>
      <c r="J5" s="174"/>
    </row>
    <row r="6" spans="1:10" ht="15.75" customHeight="1">
      <c r="A6" s="76"/>
      <c r="B6" s="76"/>
      <c r="C6" s="76"/>
      <c r="D6" s="76"/>
      <c r="E6" s="76"/>
      <c r="F6" s="76"/>
      <c r="G6" s="611"/>
      <c r="H6" s="611"/>
      <c r="I6" s="174"/>
      <c r="J6" s="174"/>
    </row>
    <row r="7" spans="1:8" ht="45.75" customHeight="1">
      <c r="A7" s="1455" t="s">
        <v>2104</v>
      </c>
      <c r="B7" s="1495" t="s">
        <v>79</v>
      </c>
      <c r="C7" s="1497" t="s">
        <v>88</v>
      </c>
      <c r="D7" s="1495" t="s">
        <v>80</v>
      </c>
      <c r="E7" s="1495" t="s">
        <v>1326</v>
      </c>
      <c r="F7" s="1495" t="s">
        <v>1067</v>
      </c>
      <c r="G7" s="46" t="s">
        <v>877</v>
      </c>
      <c r="H7" s="46" t="s">
        <v>101</v>
      </c>
    </row>
    <row r="8" spans="1:8" ht="16.5" customHeight="1">
      <c r="A8" s="1456"/>
      <c r="B8" s="1496"/>
      <c r="C8" s="1498"/>
      <c r="D8" s="1496"/>
      <c r="E8" s="1496"/>
      <c r="F8" s="1496"/>
      <c r="G8" s="135" t="s">
        <v>1327</v>
      </c>
      <c r="H8" s="135" t="s">
        <v>1327</v>
      </c>
    </row>
    <row r="9" spans="1:8" ht="15">
      <c r="A9" s="83">
        <v>1</v>
      </c>
      <c r="B9" s="83">
        <v>2</v>
      </c>
      <c r="C9" s="83">
        <v>3</v>
      </c>
      <c r="D9" s="83">
        <v>4</v>
      </c>
      <c r="E9" s="83">
        <v>5</v>
      </c>
      <c r="F9" s="83">
        <v>6</v>
      </c>
      <c r="G9" s="83">
        <v>7</v>
      </c>
      <c r="H9" s="83">
        <v>8</v>
      </c>
    </row>
    <row r="10" spans="1:10" ht="15" customHeight="1">
      <c r="A10" s="221">
        <v>1</v>
      </c>
      <c r="B10" s="922" t="s">
        <v>1526</v>
      </c>
      <c r="C10" s="224">
        <v>7132461004</v>
      </c>
      <c r="D10" s="221" t="s">
        <v>1721</v>
      </c>
      <c r="E10" s="222">
        <f>VLOOKUP(C10,'SOR RATE'!A:D,4,0)</f>
        <v>1020</v>
      </c>
      <c r="F10" s="221">
        <v>120</v>
      </c>
      <c r="G10" s="222">
        <f>E10*F10</f>
        <v>122400</v>
      </c>
      <c r="H10" s="222">
        <f>E10*F10</f>
        <v>122400</v>
      </c>
      <c r="I10" s="206"/>
      <c r="J10" s="206"/>
    </row>
    <row r="11" spans="1:10" ht="15" customHeight="1">
      <c r="A11" s="472">
        <v>2</v>
      </c>
      <c r="B11" s="613" t="s">
        <v>1069</v>
      </c>
      <c r="C11" s="224">
        <v>7132461005</v>
      </c>
      <c r="D11" s="221" t="s">
        <v>83</v>
      </c>
      <c r="E11" s="222">
        <f>VLOOKUP(C11,'SOR RATE'!A:D,4,0)</f>
        <v>371</v>
      </c>
      <c r="F11" s="221">
        <v>18</v>
      </c>
      <c r="G11" s="222">
        <f>E11*F11</f>
        <v>6678</v>
      </c>
      <c r="H11" s="222">
        <f>E11*F11</f>
        <v>6678</v>
      </c>
      <c r="I11" s="204"/>
      <c r="J11" s="148"/>
    </row>
    <row r="12" spans="1:10" ht="15" customHeight="1">
      <c r="A12" s="472">
        <v>3</v>
      </c>
      <c r="B12" s="850" t="s">
        <v>1602</v>
      </c>
      <c r="C12" s="224">
        <v>7130310075</v>
      </c>
      <c r="D12" s="221" t="s">
        <v>1721</v>
      </c>
      <c r="E12" s="222">
        <f>VLOOKUP(C12,'SOR RATE'!A:D,4,0)/1000</f>
        <v>1891.074</v>
      </c>
      <c r="F12" s="221">
        <v>180</v>
      </c>
      <c r="G12" s="222">
        <f>E12*F12</f>
        <v>340393.32</v>
      </c>
      <c r="H12" s="222"/>
      <c r="I12" s="204"/>
      <c r="J12" s="145"/>
    </row>
    <row r="13" spans="1:10" ht="15" customHeight="1">
      <c r="A13" s="472">
        <v>4</v>
      </c>
      <c r="B13" s="850" t="s">
        <v>102</v>
      </c>
      <c r="C13" s="224">
        <v>7130310020</v>
      </c>
      <c r="D13" s="221" t="s">
        <v>1721</v>
      </c>
      <c r="E13" s="222">
        <f>VLOOKUP(C13,'SOR RATE'!A:D,4,0)/1000</f>
        <v>2066.592</v>
      </c>
      <c r="F13" s="221">
        <v>190</v>
      </c>
      <c r="G13" s="222"/>
      <c r="H13" s="222">
        <f>E13*F13</f>
        <v>392652.48000000004</v>
      </c>
      <c r="I13" s="204"/>
      <c r="J13" s="125"/>
    </row>
    <row r="14" spans="1:10" ht="15.75" customHeight="1">
      <c r="A14" s="221">
        <v>5</v>
      </c>
      <c r="B14" s="922" t="s">
        <v>1601</v>
      </c>
      <c r="C14" s="923">
        <v>7130352037</v>
      </c>
      <c r="D14" s="221" t="s">
        <v>1330</v>
      </c>
      <c r="E14" s="222">
        <f>VLOOKUP(C14,'SOR RATE'!A:D,4,0)</f>
        <v>21050</v>
      </c>
      <c r="F14" s="221">
        <v>4</v>
      </c>
      <c r="G14" s="222">
        <f>E14*F14</f>
        <v>84200</v>
      </c>
      <c r="H14" s="222"/>
      <c r="J14" s="145"/>
    </row>
    <row r="15" spans="1:10" ht="15.75" customHeight="1">
      <c r="A15" s="221">
        <v>6</v>
      </c>
      <c r="B15" s="922" t="s">
        <v>103</v>
      </c>
      <c r="C15" s="923">
        <v>7130352010</v>
      </c>
      <c r="D15" s="221" t="s">
        <v>1330</v>
      </c>
      <c r="E15" s="222">
        <f>VLOOKUP(C15,'SOR RATE'!A:D,4,0)</f>
        <v>35084</v>
      </c>
      <c r="F15" s="221">
        <v>4</v>
      </c>
      <c r="G15" s="222"/>
      <c r="H15" s="222">
        <f aca="true" t="shared" si="0" ref="H15:H25">E15*F15</f>
        <v>140336</v>
      </c>
      <c r="I15" s="210"/>
      <c r="J15" s="125"/>
    </row>
    <row r="16" spans="1:10" ht="16.5" customHeight="1">
      <c r="A16" s="221">
        <v>7</v>
      </c>
      <c r="B16" s="922" t="s">
        <v>2027</v>
      </c>
      <c r="C16" s="923">
        <v>7130640027</v>
      </c>
      <c r="D16" s="221" t="s">
        <v>1740</v>
      </c>
      <c r="E16" s="222">
        <f>VLOOKUP(C16,'SOR RATE'!A:D,4,0)</f>
        <v>929</v>
      </c>
      <c r="F16" s="221">
        <v>24</v>
      </c>
      <c r="G16" s="222">
        <f aca="true" t="shared" si="1" ref="G16:G25">E16*F16</f>
        <v>22296</v>
      </c>
      <c r="H16" s="222">
        <f t="shared" si="0"/>
        <v>22296</v>
      </c>
      <c r="I16" s="210"/>
      <c r="J16" s="521"/>
    </row>
    <row r="17" spans="1:11" ht="60" customHeight="1">
      <c r="A17" s="221">
        <v>8</v>
      </c>
      <c r="B17" s="613" t="s">
        <v>535</v>
      </c>
      <c r="C17" s="221"/>
      <c r="D17" s="221" t="s">
        <v>1331</v>
      </c>
      <c r="E17" s="222">
        <v>1500</v>
      </c>
      <c r="F17" s="221">
        <v>4</v>
      </c>
      <c r="G17" s="222">
        <f t="shared" si="1"/>
        <v>6000</v>
      </c>
      <c r="H17" s="222">
        <f t="shared" si="0"/>
        <v>6000</v>
      </c>
      <c r="I17" s="163"/>
      <c r="J17" s="149"/>
      <c r="K17" s="208"/>
    </row>
    <row r="18" spans="1:11" ht="15.75" customHeight="1">
      <c r="A18" s="472">
        <v>9</v>
      </c>
      <c r="B18" s="613" t="s">
        <v>507</v>
      </c>
      <c r="C18" s="221">
        <v>7130600173</v>
      </c>
      <c r="D18" s="221" t="s">
        <v>1722</v>
      </c>
      <c r="E18" s="222">
        <f>VLOOKUP(C18,'SOR RATE'!A:D,4,0)/1000</f>
        <v>34.149</v>
      </c>
      <c r="F18" s="221">
        <v>100</v>
      </c>
      <c r="G18" s="222">
        <f t="shared" si="1"/>
        <v>3414.9</v>
      </c>
      <c r="H18" s="222">
        <f t="shared" si="0"/>
        <v>3414.9</v>
      </c>
      <c r="I18" s="207"/>
      <c r="J18" s="149"/>
      <c r="K18" s="149"/>
    </row>
    <row r="19" spans="1:11" ht="45.75" customHeight="1">
      <c r="A19" s="472">
        <v>10</v>
      </c>
      <c r="B19" s="613" t="s">
        <v>2028</v>
      </c>
      <c r="C19" s="923"/>
      <c r="D19" s="221" t="s">
        <v>83</v>
      </c>
      <c r="E19" s="222">
        <v>556</v>
      </c>
      <c r="F19" s="221">
        <v>4</v>
      </c>
      <c r="G19" s="222">
        <f t="shared" si="1"/>
        <v>2224</v>
      </c>
      <c r="H19" s="222">
        <f t="shared" si="0"/>
        <v>2224</v>
      </c>
      <c r="I19" s="163"/>
      <c r="J19" s="149"/>
      <c r="K19" s="149"/>
    </row>
    <row r="20" spans="1:11" ht="15" customHeight="1">
      <c r="A20" s="472">
        <v>11</v>
      </c>
      <c r="B20" s="925" t="s">
        <v>1780</v>
      </c>
      <c r="C20" s="926">
        <v>7130201343</v>
      </c>
      <c r="D20" s="221" t="s">
        <v>83</v>
      </c>
      <c r="E20" s="222">
        <f>VLOOKUP(C20,'SOR RATE'!A:D,4,0)/1000</f>
        <v>10.423</v>
      </c>
      <c r="F20" s="221">
        <f>4*20</f>
        <v>80</v>
      </c>
      <c r="G20" s="222">
        <f t="shared" si="1"/>
        <v>833.84</v>
      </c>
      <c r="H20" s="222">
        <f t="shared" si="0"/>
        <v>833.84</v>
      </c>
      <c r="I20" s="207"/>
      <c r="J20" s="149"/>
      <c r="K20" s="149"/>
    </row>
    <row r="21" spans="1:11" ht="15.75" customHeight="1">
      <c r="A21" s="926">
        <v>12</v>
      </c>
      <c r="B21" s="925" t="s">
        <v>1781</v>
      </c>
      <c r="C21" s="926">
        <v>7132498006</v>
      </c>
      <c r="D21" s="221" t="s">
        <v>1571</v>
      </c>
      <c r="E21" s="222">
        <f>VLOOKUP(C21,'SOR RATE'!A:D,4,0)</f>
        <v>670</v>
      </c>
      <c r="F21" s="221">
        <f>0.06*20</f>
        <v>1.2</v>
      </c>
      <c r="G21" s="222">
        <f t="shared" si="1"/>
        <v>804</v>
      </c>
      <c r="H21" s="222">
        <f t="shared" si="0"/>
        <v>804</v>
      </c>
      <c r="I21" s="207"/>
      <c r="J21" s="149"/>
      <c r="K21" s="149"/>
    </row>
    <row r="22" spans="1:11" ht="15.75" customHeight="1">
      <c r="A22" s="926">
        <v>13</v>
      </c>
      <c r="B22" s="246" t="s">
        <v>1652</v>
      </c>
      <c r="C22" s="927">
        <v>7130840021</v>
      </c>
      <c r="D22" s="848" t="s">
        <v>1611</v>
      </c>
      <c r="E22" s="222">
        <f>VLOOKUP(C22,'SOR RATE'!A:D,4,0)</f>
        <v>3551</v>
      </c>
      <c r="F22" s="221">
        <v>6</v>
      </c>
      <c r="G22" s="222">
        <f t="shared" si="1"/>
        <v>21306</v>
      </c>
      <c r="H22" s="222">
        <f t="shared" si="0"/>
        <v>21306</v>
      </c>
      <c r="I22" s="207"/>
      <c r="J22" s="149"/>
      <c r="K22" s="149"/>
    </row>
    <row r="23" spans="1:11" ht="17.25" customHeight="1">
      <c r="A23" s="926">
        <v>14</v>
      </c>
      <c r="B23" s="847" t="s">
        <v>1531</v>
      </c>
      <c r="C23" s="927">
        <v>7130830060</v>
      </c>
      <c r="D23" s="848" t="s">
        <v>1721</v>
      </c>
      <c r="E23" s="222">
        <f>VLOOKUP(C23,'SOR RATE'!A:D,4,0)/1000</f>
        <v>42.115</v>
      </c>
      <c r="F23" s="221">
        <v>18</v>
      </c>
      <c r="G23" s="222">
        <f t="shared" si="1"/>
        <v>758.07</v>
      </c>
      <c r="H23" s="222">
        <f t="shared" si="0"/>
        <v>758.07</v>
      </c>
      <c r="I23" s="207"/>
      <c r="J23" s="149"/>
      <c r="K23" s="149"/>
    </row>
    <row r="24" spans="1:11" ht="29.25" customHeight="1">
      <c r="A24" s="926">
        <v>15</v>
      </c>
      <c r="B24" s="246" t="s">
        <v>2029</v>
      </c>
      <c r="C24" s="927">
        <v>7130830585</v>
      </c>
      <c r="D24" s="848" t="s">
        <v>1331</v>
      </c>
      <c r="E24" s="222">
        <f>VLOOKUP(C24,'SOR RATE'!A:D,4,0)</f>
        <v>223</v>
      </c>
      <c r="F24" s="221">
        <v>6</v>
      </c>
      <c r="G24" s="222">
        <f t="shared" si="1"/>
        <v>1338</v>
      </c>
      <c r="H24" s="222">
        <f t="shared" si="0"/>
        <v>1338</v>
      </c>
      <c r="I24" s="207"/>
      <c r="J24" s="149"/>
      <c r="K24" s="149"/>
    </row>
    <row r="25" spans="1:11" ht="33.75" customHeight="1">
      <c r="A25" s="472">
        <v>16</v>
      </c>
      <c r="B25" s="613" t="s">
        <v>2030</v>
      </c>
      <c r="C25" s="221">
        <v>7130642039</v>
      </c>
      <c r="D25" s="221" t="s">
        <v>83</v>
      </c>
      <c r="E25" s="222">
        <f>VLOOKUP(C25,'SOR RATE'!A:D,4,0)</f>
        <v>770</v>
      </c>
      <c r="F25" s="221">
        <f>4+6</f>
        <v>10</v>
      </c>
      <c r="G25" s="222">
        <f t="shared" si="1"/>
        <v>7700</v>
      </c>
      <c r="H25" s="222">
        <f t="shared" si="0"/>
        <v>7700</v>
      </c>
      <c r="I25" s="163"/>
      <c r="J25" s="208"/>
      <c r="K25" s="149"/>
    </row>
    <row r="26" spans="1:11" ht="45.75" customHeight="1">
      <c r="A26" s="472">
        <v>17</v>
      </c>
      <c r="B26" s="613" t="s">
        <v>536</v>
      </c>
      <c r="C26" s="928"/>
      <c r="D26" s="472" t="s">
        <v>64</v>
      </c>
      <c r="E26" s="852" t="s">
        <v>64</v>
      </c>
      <c r="F26" s="472" t="s">
        <v>64</v>
      </c>
      <c r="G26" s="852">
        <v>25000</v>
      </c>
      <c r="H26" s="852">
        <v>25000</v>
      </c>
      <c r="I26" s="145"/>
      <c r="J26" s="149"/>
      <c r="K26" s="149"/>
    </row>
    <row r="27" spans="1:11" ht="16.5" customHeight="1">
      <c r="A27" s="46">
        <v>18</v>
      </c>
      <c r="B27" s="858" t="s">
        <v>1052</v>
      </c>
      <c r="C27" s="930"/>
      <c r="D27" s="931"/>
      <c r="E27" s="929"/>
      <c r="F27" s="929"/>
      <c r="G27" s="932">
        <f>SUM(G10:G26)</f>
        <v>645346.13</v>
      </c>
      <c r="H27" s="932">
        <f>SUM(H10:H26)</f>
        <v>753741.2899999999</v>
      </c>
      <c r="I27" s="195"/>
      <c r="J27" s="195"/>
      <c r="K27" s="209"/>
    </row>
    <row r="28" spans="1:11" ht="18" customHeight="1">
      <c r="A28" s="221">
        <v>19</v>
      </c>
      <c r="B28" s="223" t="s">
        <v>1051</v>
      </c>
      <c r="C28" s="933"/>
      <c r="D28" s="934"/>
      <c r="E28" s="848">
        <v>0.09</v>
      </c>
      <c r="F28" s="935"/>
      <c r="G28" s="849">
        <f>G27*E28</f>
        <v>58081.151699999995</v>
      </c>
      <c r="H28" s="849">
        <f>H27*E28</f>
        <v>67836.71609999999</v>
      </c>
      <c r="I28" s="195"/>
      <c r="J28" s="195"/>
      <c r="K28" s="195"/>
    </row>
    <row r="29" spans="1:12" ht="18.75" customHeight="1">
      <c r="A29" s="221">
        <v>20</v>
      </c>
      <c r="B29" s="922" t="s">
        <v>240</v>
      </c>
      <c r="C29" s="936"/>
      <c r="D29" s="221" t="s">
        <v>83</v>
      </c>
      <c r="E29" s="849">
        <f>1417.73*1.086275*1.1112*1.0685*1.06217</f>
        <v>1942.2006907259895</v>
      </c>
      <c r="F29" s="848">
        <v>10</v>
      </c>
      <c r="G29" s="222">
        <f>E29*F29</f>
        <v>19422.006907259896</v>
      </c>
      <c r="H29" s="222">
        <f>E29*F29</f>
        <v>19422.006907259896</v>
      </c>
      <c r="I29" s="195"/>
      <c r="J29" s="149"/>
      <c r="K29" s="601"/>
      <c r="L29" s="145"/>
    </row>
    <row r="30" spans="1:11" ht="32.25" customHeight="1">
      <c r="A30" s="221">
        <v>21</v>
      </c>
      <c r="B30" s="922" t="s">
        <v>537</v>
      </c>
      <c r="C30" s="922"/>
      <c r="D30" s="848" t="s">
        <v>1721</v>
      </c>
      <c r="E30" s="222"/>
      <c r="F30" s="221">
        <v>60</v>
      </c>
      <c r="G30" s="874">
        <v>122922</v>
      </c>
      <c r="H30" s="849">
        <v>126347</v>
      </c>
      <c r="I30" s="195"/>
      <c r="J30" s="610"/>
      <c r="K30" s="603"/>
    </row>
    <row r="31" spans="1:11" ht="18" customHeight="1">
      <c r="A31" s="221">
        <v>22</v>
      </c>
      <c r="B31" s="922" t="s">
        <v>76</v>
      </c>
      <c r="C31" s="937"/>
      <c r="D31" s="937"/>
      <c r="E31" s="938"/>
      <c r="F31" s="938"/>
      <c r="G31" s="849">
        <f>1.1*50000*1.1797*1.1402*0.9368*0.87</f>
        <v>60295.019543167204</v>
      </c>
      <c r="H31" s="849">
        <f>1.1*50000*1.1797*1.1402*0.9368*0.87</f>
        <v>60295.019543167204</v>
      </c>
      <c r="I31" s="195"/>
      <c r="J31" s="145"/>
      <c r="K31" s="145"/>
    </row>
    <row r="32" spans="1:11" ht="15">
      <c r="A32" s="46">
        <v>23</v>
      </c>
      <c r="B32" s="858" t="s">
        <v>1053</v>
      </c>
      <c r="C32" s="937"/>
      <c r="D32" s="937"/>
      <c r="E32" s="938"/>
      <c r="F32" s="938"/>
      <c r="G32" s="939">
        <f>G27+G28+G29+G30+G31</f>
        <v>906066.3081504272</v>
      </c>
      <c r="H32" s="939">
        <f>H27+H28+H29+H30+H31</f>
        <v>1027642.032550427</v>
      </c>
      <c r="I32" s="195"/>
      <c r="J32" s="210"/>
      <c r="K32" s="145"/>
    </row>
    <row r="33" spans="1:11" ht="32.25" customHeight="1">
      <c r="A33" s="221">
        <v>24</v>
      </c>
      <c r="B33" s="223" t="s">
        <v>2169</v>
      </c>
      <c r="C33" s="937"/>
      <c r="D33" s="937"/>
      <c r="E33" s="221">
        <v>0.11</v>
      </c>
      <c r="F33" s="938"/>
      <c r="G33" s="849">
        <f>G27*E33</f>
        <v>70988.07430000001</v>
      </c>
      <c r="H33" s="849">
        <f>H27*E33</f>
        <v>82911.5419</v>
      </c>
      <c r="I33" s="195"/>
      <c r="J33" s="210"/>
      <c r="K33" s="145"/>
    </row>
    <row r="34" spans="1:13" ht="19.5" customHeight="1">
      <c r="A34" s="221">
        <v>25</v>
      </c>
      <c r="B34" s="922" t="s">
        <v>1341</v>
      </c>
      <c r="C34" s="940">
        <v>0.15</v>
      </c>
      <c r="D34" s="922"/>
      <c r="E34" s="221"/>
      <c r="F34" s="221"/>
      <c r="G34" s="849">
        <f>G32*0.15</f>
        <v>135909.94622256406</v>
      </c>
      <c r="H34" s="849">
        <f>H32*0.15</f>
        <v>154146.30488256406</v>
      </c>
      <c r="I34" s="195"/>
      <c r="J34" s="521"/>
      <c r="L34" s="581"/>
      <c r="M34" s="581"/>
    </row>
    <row r="35" spans="1:9" ht="20.25" customHeight="1">
      <c r="A35" s="221">
        <v>26</v>
      </c>
      <c r="B35" s="922" t="s">
        <v>1527</v>
      </c>
      <c r="C35" s="937"/>
      <c r="D35" s="937"/>
      <c r="E35" s="938"/>
      <c r="F35" s="938"/>
      <c r="G35" s="849">
        <f>G32+G33+G34</f>
        <v>1112964.3286729911</v>
      </c>
      <c r="H35" s="849">
        <f>H32+H33+H34</f>
        <v>1264699.879332991</v>
      </c>
      <c r="I35" s="195"/>
    </row>
    <row r="36" spans="1:9" ht="19.5" customHeight="1">
      <c r="A36" s="46">
        <v>27</v>
      </c>
      <c r="B36" s="960" t="s">
        <v>1528</v>
      </c>
      <c r="C36" s="937"/>
      <c r="D36" s="937"/>
      <c r="E36" s="938"/>
      <c r="F36" s="938"/>
      <c r="G36" s="860">
        <f>ROUND(G35,0)</f>
        <v>1112964</v>
      </c>
      <c r="H36" s="860">
        <f>ROUND(H35,0)</f>
        <v>1264700</v>
      </c>
      <c r="I36" s="195"/>
    </row>
    <row r="37" spans="1:8" ht="12" customHeight="1">
      <c r="A37" s="84"/>
      <c r="B37" s="84"/>
      <c r="C37" s="84"/>
      <c r="D37" s="84"/>
      <c r="E37" s="84"/>
      <c r="F37" s="84"/>
      <c r="G37" s="84"/>
      <c r="H37" s="84"/>
    </row>
    <row r="38" spans="1:3" ht="17.25" customHeight="1">
      <c r="A38" s="150" t="s">
        <v>1739</v>
      </c>
      <c r="B38" s="125" t="s">
        <v>2031</v>
      </c>
      <c r="C38" s="125"/>
    </row>
    <row r="39" spans="2:8" ht="32.25" customHeight="1">
      <c r="B39" s="1483" t="s">
        <v>2034</v>
      </c>
      <c r="C39" s="1483"/>
      <c r="D39" s="1483"/>
      <c r="E39" s="1483"/>
      <c r="F39" s="1483"/>
      <c r="G39" s="616"/>
      <c r="H39" s="616"/>
    </row>
    <row r="40" spans="1:8" ht="32.25" customHeight="1">
      <c r="A40" s="615" t="s">
        <v>511</v>
      </c>
      <c r="B40" s="1483" t="s">
        <v>2033</v>
      </c>
      <c r="C40" s="1483"/>
      <c r="D40" s="1483"/>
      <c r="E40" s="1483"/>
      <c r="F40" s="1483"/>
      <c r="G40" s="612"/>
      <c r="H40" s="612"/>
    </row>
    <row r="41" spans="2:8" ht="15">
      <c r="B41" s="210"/>
      <c r="G41" s="37"/>
      <c r="H41" s="37"/>
    </row>
    <row r="42" ht="16.5" customHeight="1">
      <c r="B42" s="210"/>
    </row>
    <row r="43" spans="2:8" ht="14.25">
      <c r="B43" s="210"/>
      <c r="G43" s="281"/>
      <c r="H43" s="281"/>
    </row>
    <row r="44" ht="14.25">
      <c r="B44" s="210"/>
    </row>
    <row r="45" ht="14.25">
      <c r="B45" s="210"/>
    </row>
    <row r="46" ht="14.25">
      <c r="B46" s="210"/>
    </row>
    <row r="47" ht="14.25">
      <c r="B47" s="210"/>
    </row>
    <row r="48" ht="14.25">
      <c r="B48" s="210"/>
    </row>
    <row r="49" ht="14.25">
      <c r="B49" s="210"/>
    </row>
    <row r="50" ht="14.25">
      <c r="B50" s="210"/>
    </row>
    <row r="51" ht="14.25">
      <c r="B51" s="210"/>
    </row>
    <row r="52" ht="14.25">
      <c r="B52" s="210"/>
    </row>
    <row r="53" ht="14.25">
      <c r="B53" s="210"/>
    </row>
    <row r="54" ht="14.25">
      <c r="B54" s="210"/>
    </row>
    <row r="55" ht="14.25">
      <c r="B55" s="210"/>
    </row>
    <row r="56" ht="14.25">
      <c r="B56" s="210"/>
    </row>
    <row r="59" spans="2:9" ht="12.75">
      <c r="B59" s="149"/>
      <c r="C59" s="149"/>
      <c r="D59" s="149"/>
      <c r="E59" s="149"/>
      <c r="F59" s="149"/>
      <c r="G59" s="149"/>
      <c r="H59" s="149"/>
      <c r="I59" s="149"/>
    </row>
    <row r="60" spans="2:9" ht="12.75">
      <c r="B60" s="149"/>
      <c r="C60" s="149"/>
      <c r="D60" s="149"/>
      <c r="E60" s="149"/>
      <c r="F60" s="149"/>
      <c r="G60" s="149"/>
      <c r="H60" s="149"/>
      <c r="I60" s="149"/>
    </row>
    <row r="61" spans="2:6" ht="15">
      <c r="B61" s="263"/>
      <c r="C61" s="263"/>
      <c r="D61" s="263"/>
      <c r="E61" s="263"/>
      <c r="F61" s="263"/>
    </row>
    <row r="62" spans="2:9" ht="13.5" customHeight="1">
      <c r="B62" s="149"/>
      <c r="C62" s="149"/>
      <c r="D62" s="149"/>
      <c r="E62" s="149"/>
      <c r="F62" s="149"/>
      <c r="G62" s="149"/>
      <c r="H62" s="149"/>
      <c r="I62" s="149"/>
    </row>
    <row r="63" spans="2:9" s="151" customFormat="1" ht="12.75">
      <c r="B63" s="149"/>
      <c r="C63" s="149"/>
      <c r="D63" s="149"/>
      <c r="E63" s="149"/>
      <c r="F63" s="149"/>
      <c r="G63" s="149"/>
      <c r="H63" s="149"/>
      <c r="I63" s="149"/>
    </row>
    <row r="64" spans="1:9" ht="15.75">
      <c r="A64" s="152"/>
      <c r="B64" s="149"/>
      <c r="C64" s="149"/>
      <c r="D64" s="149"/>
      <c r="E64" s="149"/>
      <c r="F64" s="149"/>
      <c r="G64" s="149"/>
      <c r="H64" s="149"/>
      <c r="I64" s="149"/>
    </row>
    <row r="65" spans="1:9" ht="15.75">
      <c r="A65" s="70"/>
      <c r="B65" s="149"/>
      <c r="C65" s="149"/>
      <c r="D65" s="149"/>
      <c r="E65" s="149"/>
      <c r="F65" s="149"/>
      <c r="G65" s="149"/>
      <c r="H65" s="149"/>
      <c r="I65" s="149"/>
    </row>
    <row r="66" spans="1:9" ht="15.75">
      <c r="A66" s="70"/>
      <c r="B66" s="149"/>
      <c r="C66" s="149"/>
      <c r="D66" s="149"/>
      <c r="E66" s="149"/>
      <c r="F66" s="149"/>
      <c r="G66" s="149"/>
      <c r="H66" s="149"/>
      <c r="I66" s="149"/>
    </row>
    <row r="67" spans="1:10" ht="15.75" customHeight="1">
      <c r="A67" s="82"/>
      <c r="B67" s="149"/>
      <c r="C67" s="149"/>
      <c r="D67" s="149"/>
      <c r="E67" s="149"/>
      <c r="F67" s="149"/>
      <c r="G67" s="149"/>
      <c r="H67" s="149"/>
      <c r="I67" s="149"/>
      <c r="J67" s="145"/>
    </row>
    <row r="68" spans="1:9" ht="16.5" customHeight="1">
      <c r="A68" s="82"/>
      <c r="B68" s="149"/>
      <c r="C68" s="149"/>
      <c r="D68" s="149"/>
      <c r="E68" s="149"/>
      <c r="F68" s="149"/>
      <c r="G68" s="149"/>
      <c r="H68" s="149"/>
      <c r="I68" s="149"/>
    </row>
    <row r="69" spans="1:9" ht="15.75">
      <c r="A69" s="70"/>
      <c r="B69" s="149"/>
      <c r="C69" s="149"/>
      <c r="D69" s="149"/>
      <c r="E69" s="149"/>
      <c r="F69" s="149"/>
      <c r="G69" s="149"/>
      <c r="H69" s="149"/>
      <c r="I69" s="149"/>
    </row>
    <row r="70" spans="1:9" ht="15">
      <c r="A70" s="153"/>
      <c r="B70" s="149"/>
      <c r="C70" s="149"/>
      <c r="D70" s="149"/>
      <c r="E70" s="149"/>
      <c r="F70" s="149"/>
      <c r="G70" s="149"/>
      <c r="H70" s="149"/>
      <c r="I70" s="149"/>
    </row>
    <row r="71" spans="1:9" ht="15">
      <c r="A71" s="153"/>
      <c r="B71" s="149"/>
      <c r="C71" s="149"/>
      <c r="D71" s="149"/>
      <c r="E71" s="149"/>
      <c r="F71" s="149"/>
      <c r="G71" s="149"/>
      <c r="H71" s="149"/>
      <c r="I71" s="149"/>
    </row>
    <row r="72" spans="1:9" ht="15">
      <c r="A72" s="153"/>
      <c r="B72" s="149"/>
      <c r="C72" s="149"/>
      <c r="D72" s="149"/>
      <c r="E72" s="149"/>
      <c r="F72" s="149"/>
      <c r="G72" s="149"/>
      <c r="H72" s="149"/>
      <c r="I72" s="149"/>
    </row>
    <row r="73" spans="1:9" ht="15">
      <c r="A73" s="153"/>
      <c r="B73" s="149"/>
      <c r="C73" s="149"/>
      <c r="D73" s="149"/>
      <c r="E73" s="149"/>
      <c r="F73" s="149"/>
      <c r="G73" s="149"/>
      <c r="H73" s="149"/>
      <c r="I73" s="149"/>
    </row>
    <row r="74" spans="1:9" ht="15.75" customHeight="1">
      <c r="A74" s="153"/>
      <c r="B74" s="149"/>
      <c r="C74" s="149"/>
      <c r="D74" s="149"/>
      <c r="E74" s="149"/>
      <c r="F74" s="149"/>
      <c r="G74" s="149"/>
      <c r="H74" s="149"/>
      <c r="I74" s="149"/>
    </row>
    <row r="75" spans="1:9" ht="15">
      <c r="A75" s="153"/>
      <c r="B75" s="149"/>
      <c r="C75" s="149"/>
      <c r="D75" s="149"/>
      <c r="E75" s="149"/>
      <c r="F75" s="149"/>
      <c r="G75" s="149"/>
      <c r="H75" s="149"/>
      <c r="I75" s="149"/>
    </row>
    <row r="76" spans="1:9" ht="15">
      <c r="A76" s="153"/>
      <c r="B76" s="149"/>
      <c r="C76" s="149"/>
      <c r="D76" s="149"/>
      <c r="E76" s="149"/>
      <c r="F76" s="149"/>
      <c r="G76" s="149"/>
      <c r="H76" s="149"/>
      <c r="I76" s="149"/>
    </row>
    <row r="77" spans="1:9" ht="15">
      <c r="A77" s="153"/>
      <c r="B77" s="149"/>
      <c r="C77" s="149"/>
      <c r="D77" s="149"/>
      <c r="E77" s="149"/>
      <c r="F77" s="149"/>
      <c r="G77" s="149"/>
      <c r="H77" s="149"/>
      <c r="I77" s="149"/>
    </row>
    <row r="78" spans="1:9" ht="15">
      <c r="A78" s="153"/>
      <c r="B78" s="149"/>
      <c r="C78" s="149"/>
      <c r="D78" s="149"/>
      <c r="E78" s="149"/>
      <c r="F78" s="149"/>
      <c r="G78" s="149"/>
      <c r="H78" s="149"/>
      <c r="I78" s="149"/>
    </row>
    <row r="79" spans="1:9" ht="15">
      <c r="A79" s="87"/>
      <c r="B79" s="149"/>
      <c r="C79" s="149"/>
      <c r="D79" s="149"/>
      <c r="E79" s="149"/>
      <c r="F79" s="149"/>
      <c r="G79" s="149"/>
      <c r="H79" s="149"/>
      <c r="I79" s="149"/>
    </row>
    <row r="80" spans="1:9" ht="15">
      <c r="A80" s="87"/>
      <c r="B80" s="149"/>
      <c r="C80" s="149"/>
      <c r="D80" s="149"/>
      <c r="E80" s="149"/>
      <c r="F80" s="149"/>
      <c r="G80" s="149"/>
      <c r="H80" s="149"/>
      <c r="I80" s="149"/>
    </row>
    <row r="81" spans="1:9" ht="15">
      <c r="A81" s="154"/>
      <c r="B81" s="149"/>
      <c r="C81" s="149"/>
      <c r="D81" s="149"/>
      <c r="E81" s="149"/>
      <c r="F81" s="149"/>
      <c r="G81" s="149"/>
      <c r="H81" s="149"/>
      <c r="I81" s="149"/>
    </row>
    <row r="82" spans="1:9" ht="15">
      <c r="A82" s="154"/>
      <c r="B82" s="149"/>
      <c r="C82" s="149"/>
      <c r="D82" s="149"/>
      <c r="E82" s="149"/>
      <c r="F82" s="149"/>
      <c r="G82" s="149"/>
      <c r="H82" s="149"/>
      <c r="I82" s="149"/>
    </row>
    <row r="83" spans="1:9" ht="15">
      <c r="A83" s="154"/>
      <c r="B83" s="149"/>
      <c r="C83" s="149"/>
      <c r="D83" s="149"/>
      <c r="E83" s="149"/>
      <c r="F83" s="149"/>
      <c r="G83" s="149"/>
      <c r="H83" s="149"/>
      <c r="I83" s="149"/>
    </row>
    <row r="84" spans="1:9" ht="15">
      <c r="A84" s="154"/>
      <c r="B84" s="149"/>
      <c r="C84" s="149"/>
      <c r="D84" s="149"/>
      <c r="E84" s="149"/>
      <c r="F84" s="149"/>
      <c r="G84" s="149"/>
      <c r="H84" s="149"/>
      <c r="I84" s="149"/>
    </row>
    <row r="85" spans="1:9" ht="15.75" customHeight="1">
      <c r="A85" s="90"/>
      <c r="B85" s="149"/>
      <c r="C85" s="149"/>
      <c r="D85" s="149"/>
      <c r="E85" s="149"/>
      <c r="F85" s="149"/>
      <c r="G85" s="149"/>
      <c r="H85" s="149"/>
      <c r="I85" s="149"/>
    </row>
    <row r="86" spans="1:9" ht="15" customHeight="1">
      <c r="A86" s="1481"/>
      <c r="B86" s="149"/>
      <c r="C86" s="149"/>
      <c r="D86" s="149"/>
      <c r="E86" s="149"/>
      <c r="F86" s="149"/>
      <c r="G86" s="149"/>
      <c r="H86" s="149"/>
      <c r="I86" s="149"/>
    </row>
    <row r="87" spans="1:9" ht="15" customHeight="1">
      <c r="A87" s="1481"/>
      <c r="B87" s="149"/>
      <c r="C87" s="149"/>
      <c r="D87" s="149"/>
      <c r="E87" s="149"/>
      <c r="F87" s="149"/>
      <c r="G87" s="149"/>
      <c r="H87" s="149"/>
      <c r="I87" s="149"/>
    </row>
    <row r="88" spans="1:9" ht="15" customHeight="1">
      <c r="A88" s="1481"/>
      <c r="B88" s="149"/>
      <c r="C88" s="149"/>
      <c r="D88" s="149"/>
      <c r="E88" s="149"/>
      <c r="F88" s="149"/>
      <c r="G88" s="149"/>
      <c r="H88" s="149"/>
      <c r="I88" s="149"/>
    </row>
    <row r="89" spans="1:9" ht="15" customHeight="1">
      <c r="A89" s="1481"/>
      <c r="B89" s="149"/>
      <c r="C89" s="149"/>
      <c r="D89" s="149"/>
      <c r="E89" s="149"/>
      <c r="F89" s="149"/>
      <c r="G89" s="149"/>
      <c r="H89" s="149"/>
      <c r="I89" s="149"/>
    </row>
    <row r="90" spans="1:9" ht="15" customHeight="1">
      <c r="A90" s="1481"/>
      <c r="B90" s="149"/>
      <c r="C90" s="149"/>
      <c r="D90" s="149"/>
      <c r="E90" s="149"/>
      <c r="F90" s="149"/>
      <c r="G90" s="149"/>
      <c r="H90" s="149"/>
      <c r="I90" s="149"/>
    </row>
    <row r="91" spans="1:9" ht="15">
      <c r="A91" s="85"/>
      <c r="B91" s="149"/>
      <c r="C91" s="149"/>
      <c r="D91" s="149"/>
      <c r="E91" s="149"/>
      <c r="F91" s="149"/>
      <c r="G91" s="149"/>
      <c r="H91" s="149"/>
      <c r="I91" s="149"/>
    </row>
    <row r="92" spans="1:9" ht="15">
      <c r="A92" s="85"/>
      <c r="B92" s="149"/>
      <c r="C92" s="149"/>
      <c r="D92" s="149"/>
      <c r="E92" s="149"/>
      <c r="F92" s="149"/>
      <c r="G92" s="149"/>
      <c r="H92" s="149"/>
      <c r="I92" s="149"/>
    </row>
    <row r="93" spans="1:9" ht="15.75" customHeight="1">
      <c r="A93" s="85"/>
      <c r="B93" s="149"/>
      <c r="C93" s="149"/>
      <c r="D93" s="149"/>
      <c r="E93" s="149"/>
      <c r="F93" s="149"/>
      <c r="G93" s="149"/>
      <c r="H93" s="149"/>
      <c r="I93" s="149"/>
    </row>
    <row r="94" spans="1:9" ht="15">
      <c r="A94" s="85"/>
      <c r="B94" s="149"/>
      <c r="C94" s="149"/>
      <c r="D94" s="149"/>
      <c r="E94" s="149"/>
      <c r="F94" s="149"/>
      <c r="G94" s="149"/>
      <c r="H94" s="149"/>
      <c r="I94" s="149"/>
    </row>
    <row r="95" spans="1:9" ht="15.75" customHeight="1">
      <c r="A95" s="85"/>
      <c r="B95" s="149"/>
      <c r="C95" s="149"/>
      <c r="D95" s="149"/>
      <c r="E95" s="149"/>
      <c r="F95" s="149"/>
      <c r="G95" s="149"/>
      <c r="H95" s="149"/>
      <c r="I95" s="149"/>
    </row>
    <row r="96" spans="1:9" ht="30.75" customHeight="1">
      <c r="A96" s="155"/>
      <c r="B96" s="149"/>
      <c r="C96" s="149"/>
      <c r="D96" s="149"/>
      <c r="E96" s="149"/>
      <c r="F96" s="149"/>
      <c r="G96" s="149"/>
      <c r="H96" s="149"/>
      <c r="I96" s="149"/>
    </row>
    <row r="97" spans="1:9" ht="15">
      <c r="A97" s="68"/>
      <c r="B97" s="149"/>
      <c r="C97" s="149"/>
      <c r="D97" s="149"/>
      <c r="E97" s="149"/>
      <c r="F97" s="149"/>
      <c r="G97" s="149"/>
      <c r="H97" s="149"/>
      <c r="I97" s="149"/>
    </row>
    <row r="98" spans="1:9" ht="15">
      <c r="A98" s="68"/>
      <c r="B98" s="149"/>
      <c r="C98" s="149"/>
      <c r="D98" s="149"/>
      <c r="E98" s="149"/>
      <c r="F98" s="149"/>
      <c r="G98" s="149"/>
      <c r="H98" s="149"/>
      <c r="I98" s="149"/>
    </row>
  </sheetData>
  <sheetProtection/>
  <mergeCells count="11">
    <mergeCell ref="B40:F40"/>
    <mergeCell ref="B39:F39"/>
    <mergeCell ref="B1:E1"/>
    <mergeCell ref="A86:A90"/>
    <mergeCell ref="B3:G3"/>
    <mergeCell ref="A7:A8"/>
    <mergeCell ref="B7:B8"/>
    <mergeCell ref="C7:C8"/>
    <mergeCell ref="D7:D8"/>
    <mergeCell ref="E7:E8"/>
    <mergeCell ref="F7:F8"/>
  </mergeCells>
  <printOptions horizontalCentered="1"/>
  <pageMargins left="0.98" right="0.15" top="0.66" bottom="0.24" header="0.5" footer="0.16"/>
  <pageSetup horizontalDpi="600" verticalDpi="600" orientation="landscape" paperSize="9" r:id="rId2"/>
  <ignoredErrors>
    <ignoredError sqref="E23" formula="1"/>
  </ignoredErrors>
  <drawing r:id="rId1"/>
</worksheet>
</file>

<file path=xl/worksheets/sheet17.xml><?xml version="1.0" encoding="utf-8"?>
<worksheet xmlns="http://schemas.openxmlformats.org/spreadsheetml/2006/main" xmlns:r="http://schemas.openxmlformats.org/officeDocument/2006/relationships">
  <sheetPr>
    <tabColor indexed="15"/>
  </sheetPr>
  <dimension ref="A1:Q176"/>
  <sheetViews>
    <sheetView zoomScalePageLayoutView="0" workbookViewId="0" topLeftCell="A5">
      <pane xSplit="5" ySplit="7" topLeftCell="F141" activePane="bottomRight" state="frozen"/>
      <selection pane="topLeft" activeCell="A5" sqref="A5"/>
      <selection pane="topRight" activeCell="F5" sqref="F5"/>
      <selection pane="bottomLeft" activeCell="A12" sqref="A12"/>
      <selection pane="bottomRight" activeCell="M132" sqref="M132"/>
    </sheetView>
  </sheetViews>
  <sheetFormatPr defaultColWidth="9.140625" defaultRowHeight="12.75"/>
  <cols>
    <col min="1" max="1" width="4.7109375" style="2" customWidth="1"/>
    <col min="2" max="2" width="5.140625" style="79" customWidth="1"/>
    <col min="3" max="3" width="39.28125" style="2" customWidth="1"/>
    <col min="4" max="4" width="15.00390625" style="79" customWidth="1"/>
    <col min="5" max="5" width="6.421875" style="2" bestFit="1" customWidth="1"/>
    <col min="6" max="6" width="14.140625" style="2" bestFit="1" customWidth="1"/>
    <col min="7" max="7" width="8.28125" style="2" customWidth="1"/>
    <col min="8" max="8" width="15.00390625" style="2" customWidth="1"/>
    <col min="9" max="9" width="8.57421875" style="2" bestFit="1" customWidth="1"/>
    <col min="10" max="10" width="14.8515625" style="2" customWidth="1"/>
    <col min="11" max="11" width="8.421875" style="2" bestFit="1" customWidth="1"/>
    <col min="12" max="12" width="15.00390625" style="2" customWidth="1"/>
    <col min="13" max="13" width="49.140625" style="2" customWidth="1"/>
    <col min="14" max="14" width="12.421875" style="2" bestFit="1" customWidth="1"/>
    <col min="15" max="15" width="13.57421875" style="2" bestFit="1" customWidth="1"/>
    <col min="16" max="16" width="9.140625" style="2" customWidth="1"/>
    <col min="17" max="17" width="14.8515625" style="2" bestFit="1" customWidth="1"/>
    <col min="18" max="16384" width="9.140625" style="2" customWidth="1"/>
  </cols>
  <sheetData>
    <row r="1" spans="2:12" ht="18">
      <c r="B1" s="247"/>
      <c r="C1" s="126"/>
      <c r="D1" s="247"/>
      <c r="E1" s="1400" t="s">
        <v>1098</v>
      </c>
      <c r="F1" s="1400"/>
      <c r="G1" s="1400"/>
      <c r="H1" s="1400"/>
      <c r="I1" s="126"/>
      <c r="J1" s="126"/>
      <c r="L1" s="126"/>
    </row>
    <row r="2" spans="1:12" ht="12.75" customHeight="1">
      <c r="A2" s="247"/>
      <c r="B2" s="247"/>
      <c r="C2" s="247"/>
      <c r="D2" s="247"/>
      <c r="E2" s="247"/>
      <c r="F2" s="247"/>
      <c r="G2" s="247"/>
      <c r="H2" s="247"/>
      <c r="I2" s="247"/>
      <c r="J2" s="247"/>
      <c r="K2" s="247"/>
      <c r="L2" s="247"/>
    </row>
    <row r="3" spans="2:12" ht="36" customHeight="1">
      <c r="B3" s="76"/>
      <c r="C3" s="1415" t="s">
        <v>1761</v>
      </c>
      <c r="D3" s="1415"/>
      <c r="E3" s="1415"/>
      <c r="F3" s="1415"/>
      <c r="G3" s="1415"/>
      <c r="H3" s="1415"/>
      <c r="I3" s="1415"/>
      <c r="J3" s="1415"/>
      <c r="K3" s="248"/>
      <c r="L3" s="248"/>
    </row>
    <row r="4" spans="1:12" ht="11.25" customHeight="1">
      <c r="A4" s="248"/>
      <c r="B4" s="76"/>
      <c r="C4" s="582"/>
      <c r="D4" s="76"/>
      <c r="E4" s="248"/>
      <c r="F4" s="248"/>
      <c r="G4" s="248"/>
      <c r="H4" s="248"/>
      <c r="I4" s="248"/>
      <c r="J4" s="248"/>
      <c r="K4" s="248"/>
      <c r="L4" s="248"/>
    </row>
    <row r="5" spans="2:12" ht="39.75" customHeight="1">
      <c r="B5" s="70"/>
      <c r="C5" s="152"/>
      <c r="D5" s="70"/>
      <c r="E5" s="152"/>
      <c r="F5" s="152"/>
      <c r="G5" s="152"/>
      <c r="H5" s="152"/>
      <c r="I5" s="152"/>
      <c r="J5" s="152"/>
      <c r="K5" s="152"/>
      <c r="L5" s="214" t="s">
        <v>244</v>
      </c>
    </row>
    <row r="6" spans="1:12" ht="12.75">
      <c r="A6" s="1510" t="s">
        <v>2104</v>
      </c>
      <c r="B6" s="1515" t="s">
        <v>79</v>
      </c>
      <c r="C6" s="1516"/>
      <c r="D6" s="1521" t="s">
        <v>88</v>
      </c>
      <c r="E6" s="1522" t="s">
        <v>80</v>
      </c>
      <c r="F6" s="1522" t="s">
        <v>1436</v>
      </c>
      <c r="G6" s="1505" t="s">
        <v>1762</v>
      </c>
      <c r="H6" s="1505"/>
      <c r="I6" s="1505" t="s">
        <v>346</v>
      </c>
      <c r="J6" s="1505"/>
      <c r="K6" s="1505" t="s">
        <v>347</v>
      </c>
      <c r="L6" s="1505"/>
    </row>
    <row r="7" spans="1:12" ht="12.75">
      <c r="A7" s="1511"/>
      <c r="B7" s="1517"/>
      <c r="C7" s="1518"/>
      <c r="D7" s="1521"/>
      <c r="E7" s="1522"/>
      <c r="F7" s="1522"/>
      <c r="G7" s="1505"/>
      <c r="H7" s="1505"/>
      <c r="I7" s="1505"/>
      <c r="J7" s="1505"/>
      <c r="K7" s="1505"/>
      <c r="L7" s="1505"/>
    </row>
    <row r="8" spans="1:12" ht="24" customHeight="1">
      <c r="A8" s="1511"/>
      <c r="B8" s="1517"/>
      <c r="C8" s="1518"/>
      <c r="D8" s="1521"/>
      <c r="E8" s="1522"/>
      <c r="F8" s="1522"/>
      <c r="G8" s="1505"/>
      <c r="H8" s="1505"/>
      <c r="I8" s="1505"/>
      <c r="J8" s="1505"/>
      <c r="K8" s="1505"/>
      <c r="L8" s="1505"/>
    </row>
    <row r="9" spans="1:12" ht="19.5" customHeight="1">
      <c r="A9" s="1512"/>
      <c r="B9" s="1519"/>
      <c r="C9" s="1520"/>
      <c r="D9" s="1521"/>
      <c r="E9" s="1522"/>
      <c r="F9" s="1522"/>
      <c r="G9" s="548" t="s">
        <v>1067</v>
      </c>
      <c r="H9" s="548" t="s">
        <v>2047</v>
      </c>
      <c r="I9" s="548" t="s">
        <v>1067</v>
      </c>
      <c r="J9" s="548" t="s">
        <v>2047</v>
      </c>
      <c r="K9" s="548" t="s">
        <v>1067</v>
      </c>
      <c r="L9" s="548" t="s">
        <v>2047</v>
      </c>
    </row>
    <row r="10" spans="1:12" ht="15">
      <c r="A10" s="549">
        <v>1</v>
      </c>
      <c r="B10" s="1513">
        <v>2</v>
      </c>
      <c r="C10" s="1514"/>
      <c r="D10" s="550">
        <v>3</v>
      </c>
      <c r="E10" s="550">
        <v>4</v>
      </c>
      <c r="F10" s="549">
        <v>5</v>
      </c>
      <c r="G10" s="549">
        <v>6</v>
      </c>
      <c r="H10" s="549">
        <v>7</v>
      </c>
      <c r="I10" s="549">
        <v>8</v>
      </c>
      <c r="J10" s="549">
        <v>9</v>
      </c>
      <c r="K10" s="549">
        <v>10</v>
      </c>
      <c r="L10" s="550">
        <v>11</v>
      </c>
    </row>
    <row r="11" spans="1:12" ht="15.75">
      <c r="A11" s="1500">
        <v>1</v>
      </c>
      <c r="B11" s="35"/>
      <c r="C11" s="1003" t="s">
        <v>348</v>
      </c>
      <c r="D11" s="1003"/>
      <c r="E11" s="1004"/>
      <c r="F11" s="1004"/>
      <c r="G11" s="1004"/>
      <c r="H11" s="1004"/>
      <c r="I11" s="1004"/>
      <c r="J11" s="1004"/>
      <c r="K11" s="1004"/>
      <c r="L11" s="1005"/>
    </row>
    <row r="12" spans="1:12" ht="28.5">
      <c r="A12" s="1501"/>
      <c r="B12" s="848" t="s">
        <v>349</v>
      </c>
      <c r="C12" s="847" t="s">
        <v>350</v>
      </c>
      <c r="D12" s="987"/>
      <c r="E12" s="848" t="s">
        <v>1740</v>
      </c>
      <c r="F12" s="849">
        <v>440</v>
      </c>
      <c r="G12" s="848">
        <v>400</v>
      </c>
      <c r="H12" s="849">
        <f aca="true" t="shared" si="0" ref="H12:H21">G12*F12</f>
        <v>176000</v>
      </c>
      <c r="I12" s="848">
        <v>400</v>
      </c>
      <c r="J12" s="849">
        <f aca="true" t="shared" si="1" ref="J12:J21">I12*F12</f>
        <v>176000</v>
      </c>
      <c r="K12" s="848">
        <v>400</v>
      </c>
      <c r="L12" s="849">
        <f aca="true" t="shared" si="2" ref="L12:L21">K12*F12</f>
        <v>176000</v>
      </c>
    </row>
    <row r="13" spans="1:12" ht="42.75">
      <c r="A13" s="1501"/>
      <c r="B13" s="221" t="s">
        <v>1578</v>
      </c>
      <c r="C13" s="246" t="s">
        <v>351</v>
      </c>
      <c r="D13" s="224"/>
      <c r="E13" s="221" t="s">
        <v>1611</v>
      </c>
      <c r="F13" s="222">
        <v>190000</v>
      </c>
      <c r="G13" s="221">
        <v>1</v>
      </c>
      <c r="H13" s="849">
        <f t="shared" si="0"/>
        <v>190000</v>
      </c>
      <c r="I13" s="221">
        <v>1</v>
      </c>
      <c r="J13" s="849">
        <f t="shared" si="1"/>
        <v>190000</v>
      </c>
      <c r="K13" s="221">
        <v>1</v>
      </c>
      <c r="L13" s="849">
        <f t="shared" si="2"/>
        <v>190000</v>
      </c>
    </row>
    <row r="14" spans="1:12" ht="30" customHeight="1">
      <c r="A14" s="1501"/>
      <c r="B14" s="221" t="s">
        <v>352</v>
      </c>
      <c r="C14" s="246" t="s">
        <v>353</v>
      </c>
      <c r="D14" s="224"/>
      <c r="E14" s="848" t="s">
        <v>83</v>
      </c>
      <c r="F14" s="849">
        <v>900000</v>
      </c>
      <c r="G14" s="848">
        <v>1</v>
      </c>
      <c r="H14" s="849">
        <f t="shared" si="0"/>
        <v>900000</v>
      </c>
      <c r="I14" s="848">
        <v>1</v>
      </c>
      <c r="J14" s="849">
        <f t="shared" si="1"/>
        <v>900000</v>
      </c>
      <c r="K14" s="848">
        <v>1</v>
      </c>
      <c r="L14" s="849">
        <f t="shared" si="2"/>
        <v>900000</v>
      </c>
    </row>
    <row r="15" spans="1:13" ht="33.75" customHeight="1">
      <c r="A15" s="1501"/>
      <c r="B15" s="848" t="s">
        <v>354</v>
      </c>
      <c r="C15" s="246" t="s">
        <v>355</v>
      </c>
      <c r="D15" s="987"/>
      <c r="E15" s="848" t="s">
        <v>1740</v>
      </c>
      <c r="F15" s="849">
        <v>3300</v>
      </c>
      <c r="G15" s="848">
        <v>125</v>
      </c>
      <c r="H15" s="849">
        <f t="shared" si="0"/>
        <v>412500</v>
      </c>
      <c r="I15" s="848">
        <v>125</v>
      </c>
      <c r="J15" s="849">
        <f t="shared" si="1"/>
        <v>412500</v>
      </c>
      <c r="K15" s="848">
        <v>125</v>
      </c>
      <c r="L15" s="849">
        <f t="shared" si="2"/>
        <v>412500</v>
      </c>
      <c r="M15" s="442" t="s">
        <v>764</v>
      </c>
    </row>
    <row r="16" spans="1:13" ht="42.75">
      <c r="A16" s="1501"/>
      <c r="B16" s="848" t="s">
        <v>356</v>
      </c>
      <c r="C16" s="246" t="s">
        <v>357</v>
      </c>
      <c r="D16" s="987"/>
      <c r="E16" s="848" t="s">
        <v>1611</v>
      </c>
      <c r="F16" s="849">
        <v>44000</v>
      </c>
      <c r="G16" s="848">
        <v>2</v>
      </c>
      <c r="H16" s="849">
        <f t="shared" si="0"/>
        <v>88000</v>
      </c>
      <c r="I16" s="848">
        <v>2</v>
      </c>
      <c r="J16" s="849">
        <f t="shared" si="1"/>
        <v>88000</v>
      </c>
      <c r="K16" s="848">
        <v>2</v>
      </c>
      <c r="L16" s="849">
        <f t="shared" si="2"/>
        <v>88000</v>
      </c>
      <c r="M16" s="440"/>
    </row>
    <row r="17" spans="1:13" ht="30" customHeight="1">
      <c r="A17" s="1501"/>
      <c r="B17" s="848" t="s">
        <v>358</v>
      </c>
      <c r="C17" s="246" t="s">
        <v>205</v>
      </c>
      <c r="D17" s="987"/>
      <c r="E17" s="848" t="s">
        <v>1571</v>
      </c>
      <c r="F17" s="849">
        <v>420</v>
      </c>
      <c r="G17" s="1006">
        <v>300</v>
      </c>
      <c r="H17" s="849">
        <f t="shared" si="0"/>
        <v>126000</v>
      </c>
      <c r="I17" s="1006">
        <f>+G17</f>
        <v>300</v>
      </c>
      <c r="J17" s="849">
        <f t="shared" si="1"/>
        <v>126000</v>
      </c>
      <c r="K17" s="1006">
        <f>+G17</f>
        <v>300</v>
      </c>
      <c r="L17" s="849">
        <f t="shared" si="2"/>
        <v>126000</v>
      </c>
      <c r="M17" s="440"/>
    </row>
    <row r="18" spans="1:12" ht="16.5" customHeight="1">
      <c r="A18" s="1501"/>
      <c r="B18" s="848" t="s">
        <v>359</v>
      </c>
      <c r="C18" s="246" t="s">
        <v>360</v>
      </c>
      <c r="D18" s="987"/>
      <c r="E18" s="848" t="s">
        <v>361</v>
      </c>
      <c r="F18" s="849">
        <v>1400</v>
      </c>
      <c r="G18" s="1006">
        <v>180</v>
      </c>
      <c r="H18" s="849">
        <f t="shared" si="0"/>
        <v>252000</v>
      </c>
      <c r="I18" s="848">
        <v>180</v>
      </c>
      <c r="J18" s="849">
        <f t="shared" si="1"/>
        <v>252000</v>
      </c>
      <c r="K18" s="848">
        <v>180</v>
      </c>
      <c r="L18" s="849">
        <f t="shared" si="2"/>
        <v>252000</v>
      </c>
    </row>
    <row r="19" spans="1:13" ht="28.5">
      <c r="A19" s="1501"/>
      <c r="B19" s="848" t="s">
        <v>362</v>
      </c>
      <c r="C19" s="246" t="s">
        <v>1511</v>
      </c>
      <c r="D19" s="987"/>
      <c r="E19" s="848" t="s">
        <v>1721</v>
      </c>
      <c r="F19" s="849">
        <v>4200</v>
      </c>
      <c r="G19" s="1006">
        <v>120</v>
      </c>
      <c r="H19" s="849">
        <f t="shared" si="0"/>
        <v>504000</v>
      </c>
      <c r="I19" s="848">
        <v>120</v>
      </c>
      <c r="J19" s="849">
        <f t="shared" si="1"/>
        <v>504000</v>
      </c>
      <c r="K19" s="848">
        <v>120</v>
      </c>
      <c r="L19" s="849">
        <f t="shared" si="2"/>
        <v>504000</v>
      </c>
      <c r="M19" s="588" t="s">
        <v>1510</v>
      </c>
    </row>
    <row r="20" spans="1:12" ht="14.25">
      <c r="A20" s="1501"/>
      <c r="B20" s="848" t="s">
        <v>363</v>
      </c>
      <c r="C20" s="246" t="s">
        <v>364</v>
      </c>
      <c r="D20" s="987"/>
      <c r="E20" s="848" t="s">
        <v>1611</v>
      </c>
      <c r="F20" s="849">
        <v>33600</v>
      </c>
      <c r="G20" s="1006">
        <v>1</v>
      </c>
      <c r="H20" s="849">
        <f t="shared" si="0"/>
        <v>33600</v>
      </c>
      <c r="I20" s="848">
        <v>1</v>
      </c>
      <c r="J20" s="849">
        <f t="shared" si="1"/>
        <v>33600</v>
      </c>
      <c r="K20" s="848">
        <v>1</v>
      </c>
      <c r="L20" s="849">
        <f t="shared" si="2"/>
        <v>33600</v>
      </c>
    </row>
    <row r="21" spans="1:13" ht="15.75" customHeight="1">
      <c r="A21" s="1501"/>
      <c r="B21" s="848" t="s">
        <v>365</v>
      </c>
      <c r="C21" s="246" t="s">
        <v>366</v>
      </c>
      <c r="D21" s="987"/>
      <c r="E21" s="848" t="s">
        <v>1740</v>
      </c>
      <c r="F21" s="849">
        <v>2160</v>
      </c>
      <c r="G21" s="1006">
        <v>130</v>
      </c>
      <c r="H21" s="849">
        <f t="shared" si="0"/>
        <v>280800</v>
      </c>
      <c r="I21" s="848">
        <v>130</v>
      </c>
      <c r="J21" s="849">
        <f t="shared" si="1"/>
        <v>280800</v>
      </c>
      <c r="K21" s="848">
        <v>130</v>
      </c>
      <c r="L21" s="849">
        <f t="shared" si="2"/>
        <v>280800</v>
      </c>
      <c r="M21" s="441"/>
    </row>
    <row r="22" spans="1:12" ht="15">
      <c r="A22" s="1502"/>
      <c r="B22" s="135"/>
      <c r="C22" s="931" t="s">
        <v>367</v>
      </c>
      <c r="D22" s="1007"/>
      <c r="E22" s="135"/>
      <c r="F22" s="135"/>
      <c r="G22" s="135"/>
      <c r="H22" s="860">
        <f>SUM(H12:H21)</f>
        <v>2962900</v>
      </c>
      <c r="I22" s="860"/>
      <c r="J22" s="860">
        <f>SUM(J12:J21)</f>
        <v>2962900</v>
      </c>
      <c r="K22" s="860"/>
      <c r="L22" s="860">
        <f>SUM(L12:L21)</f>
        <v>2962900</v>
      </c>
    </row>
    <row r="23" spans="1:12" ht="15" customHeight="1">
      <c r="A23" s="1500">
        <v>2</v>
      </c>
      <c r="B23" s="848"/>
      <c r="C23" s="931" t="s">
        <v>368</v>
      </c>
      <c r="D23" s="1008"/>
      <c r="E23" s="1009"/>
      <c r="F23" s="1009"/>
      <c r="G23" s="1009"/>
      <c r="H23" s="1009"/>
      <c r="I23" s="1009"/>
      <c r="J23" s="1009"/>
      <c r="K23" s="1009"/>
      <c r="L23" s="1010"/>
    </row>
    <row r="24" spans="1:12" ht="14.25" customHeight="1">
      <c r="A24" s="1501"/>
      <c r="B24" s="1434" t="s">
        <v>349</v>
      </c>
      <c r="C24" s="1011" t="s">
        <v>369</v>
      </c>
      <c r="D24" s="927">
        <v>7132220091</v>
      </c>
      <c r="E24" s="1012" t="s">
        <v>83</v>
      </c>
      <c r="F24" s="874">
        <f>VLOOKUP(D24,'SOR RATE'!A:D,4,0)</f>
        <v>809678</v>
      </c>
      <c r="G24" s="1012">
        <v>1</v>
      </c>
      <c r="H24" s="1013">
        <f>F24*G24</f>
        <v>809678</v>
      </c>
      <c r="I24" s="1014" t="s">
        <v>1570</v>
      </c>
      <c r="J24" s="1014" t="s">
        <v>1570</v>
      </c>
      <c r="K24" s="1014" t="s">
        <v>1570</v>
      </c>
      <c r="L24" s="1014" t="s">
        <v>1570</v>
      </c>
    </row>
    <row r="25" spans="1:12" ht="14.25" customHeight="1">
      <c r="A25" s="1501"/>
      <c r="B25" s="1437"/>
      <c r="C25" s="246" t="s">
        <v>370</v>
      </c>
      <c r="D25" s="927">
        <v>7132220095</v>
      </c>
      <c r="E25" s="848" t="s">
        <v>83</v>
      </c>
      <c r="F25" s="874">
        <f>VLOOKUP(D25,'SOR RATE'!A:D,4,0)</f>
        <v>2033847</v>
      </c>
      <c r="G25" s="1015" t="s">
        <v>1570</v>
      </c>
      <c r="H25" s="1013"/>
      <c r="I25" s="848">
        <v>1</v>
      </c>
      <c r="J25" s="849">
        <f>I25*F25</f>
        <v>2033847</v>
      </c>
      <c r="K25" s="1015" t="s">
        <v>1570</v>
      </c>
      <c r="L25" s="1015" t="s">
        <v>1570</v>
      </c>
    </row>
    <row r="26" spans="1:12" ht="14.25" customHeight="1">
      <c r="A26" s="1501"/>
      <c r="B26" s="1435"/>
      <c r="C26" s="246" t="s">
        <v>371</v>
      </c>
      <c r="D26" s="927">
        <v>7132220097</v>
      </c>
      <c r="E26" s="848" t="s">
        <v>83</v>
      </c>
      <c r="F26" s="874">
        <f>VLOOKUP(D26,'SOR RATE'!A:D,4,0)</f>
        <v>2898351</v>
      </c>
      <c r="G26" s="1015" t="s">
        <v>1570</v>
      </c>
      <c r="H26" s="1013"/>
      <c r="I26" s="1015" t="s">
        <v>1570</v>
      </c>
      <c r="J26" s="849"/>
      <c r="K26" s="848">
        <v>1</v>
      </c>
      <c r="L26" s="849">
        <f>K26*F26</f>
        <v>2898351</v>
      </c>
    </row>
    <row r="27" spans="1:12" ht="15" customHeight="1">
      <c r="A27" s="1501"/>
      <c r="B27" s="1434" t="s">
        <v>1578</v>
      </c>
      <c r="C27" s="931" t="s">
        <v>313</v>
      </c>
      <c r="D27" s="927"/>
      <c r="E27" s="135" t="s">
        <v>83</v>
      </c>
      <c r="F27" s="939">
        <f>J28+J29+J30</f>
        <v>310394</v>
      </c>
      <c r="G27" s="1015" t="s">
        <v>1570</v>
      </c>
      <c r="H27" s="1013"/>
      <c r="I27" s="1015">
        <v>1</v>
      </c>
      <c r="J27" s="849"/>
      <c r="K27" s="848"/>
      <c r="L27" s="849"/>
    </row>
    <row r="28" spans="1:12" ht="14.25" customHeight="1">
      <c r="A28" s="1501"/>
      <c r="B28" s="1437"/>
      <c r="C28" s="246" t="s">
        <v>314</v>
      </c>
      <c r="D28" s="927">
        <v>7131943380</v>
      </c>
      <c r="E28" s="848" t="s">
        <v>83</v>
      </c>
      <c r="F28" s="874">
        <f>VLOOKUP(D28,'SOR RATE'!A:D,4,0)</f>
        <v>223902</v>
      </c>
      <c r="G28" s="1015" t="s">
        <v>1570</v>
      </c>
      <c r="H28" s="1013"/>
      <c r="I28" s="1015">
        <v>1</v>
      </c>
      <c r="J28" s="849">
        <f>I28*F28</f>
        <v>223902</v>
      </c>
      <c r="K28" s="848">
        <v>1</v>
      </c>
      <c r="L28" s="849">
        <f>K28*F28</f>
        <v>223902</v>
      </c>
    </row>
    <row r="29" spans="1:13" ht="14.25" customHeight="1">
      <c r="A29" s="1501"/>
      <c r="B29" s="1437"/>
      <c r="C29" s="246" t="s">
        <v>315</v>
      </c>
      <c r="D29" s="927">
        <v>7131960524</v>
      </c>
      <c r="E29" s="848" t="s">
        <v>83</v>
      </c>
      <c r="F29" s="874">
        <f>VLOOKUP(D29,'SOR RATE'!A:D,4,0)</f>
        <v>39815</v>
      </c>
      <c r="G29" s="1015" t="s">
        <v>1570</v>
      </c>
      <c r="H29" s="1013"/>
      <c r="I29" s="1015">
        <v>1</v>
      </c>
      <c r="J29" s="849">
        <f>I29*F29</f>
        <v>39815</v>
      </c>
      <c r="K29" s="848">
        <v>1</v>
      </c>
      <c r="L29" s="849">
        <f>K29*F29</f>
        <v>39815</v>
      </c>
      <c r="M29" s="371"/>
    </row>
    <row r="30" spans="1:12" ht="14.25" customHeight="1">
      <c r="A30" s="1501"/>
      <c r="B30" s="1435"/>
      <c r="C30" s="246" t="s">
        <v>316</v>
      </c>
      <c r="D30" s="848">
        <v>7132230265</v>
      </c>
      <c r="E30" s="848" t="s">
        <v>83</v>
      </c>
      <c r="F30" s="874">
        <f>VLOOKUP(D30,'SOR RATE'!A:D,4,0)</f>
        <v>15559</v>
      </c>
      <c r="G30" s="1015" t="s">
        <v>1570</v>
      </c>
      <c r="H30" s="1013"/>
      <c r="I30" s="1015">
        <v>3</v>
      </c>
      <c r="J30" s="849">
        <f>I30*F30</f>
        <v>46677</v>
      </c>
      <c r="K30" s="848">
        <v>3</v>
      </c>
      <c r="L30" s="849">
        <f>K30*F30</f>
        <v>46677</v>
      </c>
    </row>
    <row r="31" spans="1:13" ht="30">
      <c r="A31" s="1501"/>
      <c r="B31" s="1434" t="s">
        <v>352</v>
      </c>
      <c r="C31" s="931" t="s">
        <v>317</v>
      </c>
      <c r="D31" s="927"/>
      <c r="E31" s="135" t="s">
        <v>83</v>
      </c>
      <c r="F31" s="860">
        <f>H32+H33+H34</f>
        <v>176059</v>
      </c>
      <c r="G31" s="848">
        <v>1</v>
      </c>
      <c r="H31" s="1013"/>
      <c r="I31" s="848">
        <v>1</v>
      </c>
      <c r="J31" s="849"/>
      <c r="K31" s="848">
        <v>1</v>
      </c>
      <c r="L31" s="849"/>
      <c r="M31" s="145"/>
    </row>
    <row r="32" spans="1:13" ht="14.25" customHeight="1">
      <c r="A32" s="1501"/>
      <c r="B32" s="1437"/>
      <c r="C32" s="246" t="s">
        <v>318</v>
      </c>
      <c r="D32" s="927">
        <v>7131941762</v>
      </c>
      <c r="E32" s="848" t="s">
        <v>83</v>
      </c>
      <c r="F32" s="874">
        <f>VLOOKUP(D32,'SOR RATE'!A:D,4,0)</f>
        <v>108176</v>
      </c>
      <c r="G32" s="848">
        <v>1</v>
      </c>
      <c r="H32" s="1013">
        <f>F32*G32</f>
        <v>108176</v>
      </c>
      <c r="I32" s="848">
        <v>1</v>
      </c>
      <c r="J32" s="849">
        <f>I32*F32</f>
        <v>108176</v>
      </c>
      <c r="K32" s="848">
        <v>1</v>
      </c>
      <c r="L32" s="849">
        <f>K32*F32</f>
        <v>108176</v>
      </c>
      <c r="M32" s="145"/>
    </row>
    <row r="33" spans="1:13" ht="28.5">
      <c r="A33" s="1501"/>
      <c r="B33" s="1437"/>
      <c r="C33" s="246" t="s">
        <v>319</v>
      </c>
      <c r="D33" s="927">
        <v>7131960522</v>
      </c>
      <c r="E33" s="848" t="s">
        <v>1611</v>
      </c>
      <c r="F33" s="849">
        <f>VLOOKUP(D33,'SOR RATE'!A:D,4,0)</f>
        <v>39815</v>
      </c>
      <c r="G33" s="848">
        <v>1</v>
      </c>
      <c r="H33" s="1013">
        <f>F33*G33</f>
        <v>39815</v>
      </c>
      <c r="I33" s="848">
        <v>1</v>
      </c>
      <c r="J33" s="849">
        <f>I33*F33</f>
        <v>39815</v>
      </c>
      <c r="K33" s="848">
        <v>1</v>
      </c>
      <c r="L33" s="849">
        <f>K33*F33</f>
        <v>39815</v>
      </c>
      <c r="M33" s="208"/>
    </row>
    <row r="34" spans="1:13" ht="14.25" customHeight="1">
      <c r="A34" s="1501"/>
      <c r="B34" s="1435"/>
      <c r="C34" s="246" t="s">
        <v>320</v>
      </c>
      <c r="D34" s="927">
        <v>7132230188</v>
      </c>
      <c r="E34" s="848" t="s">
        <v>83</v>
      </c>
      <c r="F34" s="874">
        <f>VLOOKUP(D34,'SOR RATE'!A:D,4,0)</f>
        <v>9356</v>
      </c>
      <c r="G34" s="848">
        <v>3</v>
      </c>
      <c r="H34" s="1013">
        <f>F34*G34</f>
        <v>28068</v>
      </c>
      <c r="I34" s="848">
        <v>3</v>
      </c>
      <c r="J34" s="849">
        <f>I34*F34</f>
        <v>28068</v>
      </c>
      <c r="K34" s="848">
        <v>3</v>
      </c>
      <c r="L34" s="849">
        <f>K34*F34</f>
        <v>28068</v>
      </c>
      <c r="M34" s="145"/>
    </row>
    <row r="35" spans="1:13" ht="30">
      <c r="A35" s="1501"/>
      <c r="B35" s="1434" t="s">
        <v>354</v>
      </c>
      <c r="C35" s="931" t="s">
        <v>1472</v>
      </c>
      <c r="D35" s="927"/>
      <c r="E35" s="135" t="s">
        <v>83</v>
      </c>
      <c r="F35" s="860">
        <f>H36+H37</f>
        <v>325150</v>
      </c>
      <c r="G35" s="1015">
        <v>2</v>
      </c>
      <c r="H35" s="1013"/>
      <c r="I35" s="1015">
        <v>2</v>
      </c>
      <c r="J35" s="849"/>
      <c r="K35" s="848">
        <v>3</v>
      </c>
      <c r="L35" s="849"/>
      <c r="M35" s="145"/>
    </row>
    <row r="36" spans="1:13" ht="18.75" customHeight="1">
      <c r="A36" s="1501"/>
      <c r="B36" s="1437"/>
      <c r="C36" s="847" t="s">
        <v>1473</v>
      </c>
      <c r="D36" s="927">
        <v>7131960497</v>
      </c>
      <c r="E36" s="848" t="s">
        <v>83</v>
      </c>
      <c r="F36" s="849">
        <f>F32+26331</f>
        <v>134507</v>
      </c>
      <c r="G36" s="1015">
        <v>2</v>
      </c>
      <c r="H36" s="1013">
        <f aca="true" t="shared" si="3" ref="H36:H49">F36*G36</f>
        <v>269014</v>
      </c>
      <c r="I36" s="1015">
        <v>2</v>
      </c>
      <c r="J36" s="849">
        <f aca="true" t="shared" si="4" ref="J36:J49">I36*F36</f>
        <v>269014</v>
      </c>
      <c r="K36" s="1015">
        <v>3</v>
      </c>
      <c r="L36" s="849">
        <f aca="true" t="shared" si="5" ref="L36:L49">K36*F36</f>
        <v>403521</v>
      </c>
      <c r="M36" s="1341" t="s">
        <v>1474</v>
      </c>
    </row>
    <row r="37" spans="1:13" ht="14.25" customHeight="1">
      <c r="A37" s="1501"/>
      <c r="B37" s="1435"/>
      <c r="C37" s="246" t="s">
        <v>1475</v>
      </c>
      <c r="D37" s="927">
        <v>7132230185</v>
      </c>
      <c r="E37" s="848" t="s">
        <v>83</v>
      </c>
      <c r="F37" s="874">
        <f>VLOOKUP(D37,'SOR RATE'!A:D,4,0)</f>
        <v>9356</v>
      </c>
      <c r="G37" s="1015">
        <v>6</v>
      </c>
      <c r="H37" s="1013">
        <f t="shared" si="3"/>
        <v>56136</v>
      </c>
      <c r="I37" s="1015">
        <v>6</v>
      </c>
      <c r="J37" s="849">
        <f t="shared" si="4"/>
        <v>56136</v>
      </c>
      <c r="K37" s="1015">
        <v>9</v>
      </c>
      <c r="L37" s="849">
        <f t="shared" si="5"/>
        <v>84204</v>
      </c>
      <c r="M37" s="145"/>
    </row>
    <row r="38" spans="1:13" ht="30.75" customHeight="1">
      <c r="A38" s="1501"/>
      <c r="B38" s="635" t="s">
        <v>356</v>
      </c>
      <c r="C38" s="847" t="s">
        <v>585</v>
      </c>
      <c r="D38" s="927">
        <v>7131930752</v>
      </c>
      <c r="E38" s="848" t="s">
        <v>83</v>
      </c>
      <c r="F38" s="849">
        <f>VLOOKUP(D38,'SOR RATE'!A:D,4,0)</f>
        <v>35641</v>
      </c>
      <c r="G38" s="848">
        <v>2</v>
      </c>
      <c r="H38" s="1013">
        <f t="shared" si="3"/>
        <v>71282</v>
      </c>
      <c r="I38" s="848">
        <v>2</v>
      </c>
      <c r="J38" s="849">
        <f t="shared" si="4"/>
        <v>71282</v>
      </c>
      <c r="K38" s="848">
        <v>2</v>
      </c>
      <c r="L38" s="849">
        <f t="shared" si="5"/>
        <v>71282</v>
      </c>
      <c r="M38" s="159"/>
    </row>
    <row r="39" spans="1:13" ht="28.5">
      <c r="A39" s="1501"/>
      <c r="B39" s="221" t="s">
        <v>358</v>
      </c>
      <c r="C39" s="246" t="s">
        <v>1972</v>
      </c>
      <c r="D39" s="927">
        <v>7131930663</v>
      </c>
      <c r="E39" s="221" t="s">
        <v>83</v>
      </c>
      <c r="F39" s="849">
        <f>VLOOKUP(D39,'SOR RATE'!A:D,4,0)</f>
        <v>20595</v>
      </c>
      <c r="G39" s="221">
        <v>6</v>
      </c>
      <c r="H39" s="1013">
        <f t="shared" si="3"/>
        <v>123570</v>
      </c>
      <c r="I39" s="221">
        <v>6</v>
      </c>
      <c r="J39" s="849">
        <f t="shared" si="4"/>
        <v>123570</v>
      </c>
      <c r="K39" s="221">
        <v>8</v>
      </c>
      <c r="L39" s="849">
        <f t="shared" si="5"/>
        <v>164760</v>
      </c>
      <c r="M39" s="145"/>
    </row>
    <row r="40" spans="1:14" ht="14.25" customHeight="1">
      <c r="A40" s="1501"/>
      <c r="B40" s="221" t="s">
        <v>359</v>
      </c>
      <c r="C40" s="847" t="s">
        <v>1973</v>
      </c>
      <c r="D40" s="927">
        <v>7131930415</v>
      </c>
      <c r="E40" s="848" t="s">
        <v>1611</v>
      </c>
      <c r="F40" s="874">
        <f>VLOOKUP(D40,'SOR RATE'!A:D,4,0)</f>
        <v>2918</v>
      </c>
      <c r="G40" s="848">
        <v>3</v>
      </c>
      <c r="H40" s="1013">
        <f t="shared" si="3"/>
        <v>8754</v>
      </c>
      <c r="I40" s="1015">
        <v>3</v>
      </c>
      <c r="J40" s="849">
        <f t="shared" si="4"/>
        <v>8754</v>
      </c>
      <c r="K40" s="1015">
        <v>9</v>
      </c>
      <c r="L40" s="849">
        <f t="shared" si="5"/>
        <v>26262</v>
      </c>
      <c r="M40" s="1343" t="s">
        <v>1282</v>
      </c>
      <c r="N40" s="145"/>
    </row>
    <row r="41" spans="1:13" ht="14.25" customHeight="1">
      <c r="A41" s="1501"/>
      <c r="B41" s="848" t="s">
        <v>362</v>
      </c>
      <c r="C41" s="847" t="s">
        <v>1974</v>
      </c>
      <c r="D41" s="927">
        <v>7131930412</v>
      </c>
      <c r="E41" s="848" t="s">
        <v>1611</v>
      </c>
      <c r="F41" s="874">
        <f>VLOOKUP(D41,'SOR RATE'!A:D,4,0)</f>
        <v>1199</v>
      </c>
      <c r="G41" s="1015">
        <v>3</v>
      </c>
      <c r="H41" s="1013">
        <f t="shared" si="3"/>
        <v>3597</v>
      </c>
      <c r="I41" s="1015">
        <v>3</v>
      </c>
      <c r="J41" s="849">
        <f t="shared" si="4"/>
        <v>3597</v>
      </c>
      <c r="K41" s="1015">
        <v>6</v>
      </c>
      <c r="L41" s="849">
        <f t="shared" si="5"/>
        <v>7194</v>
      </c>
      <c r="M41" s="443" t="s">
        <v>524</v>
      </c>
    </row>
    <row r="42" spans="1:13" ht="14.25" customHeight="1">
      <c r="A42" s="1501"/>
      <c r="B42" s="848" t="s">
        <v>363</v>
      </c>
      <c r="C42" s="246" t="s">
        <v>1652</v>
      </c>
      <c r="D42" s="927">
        <v>7130840021</v>
      </c>
      <c r="E42" s="848" t="s">
        <v>1611</v>
      </c>
      <c r="F42" s="874">
        <f>VLOOKUP(D42,'SOR RATE'!A:D,4,0)</f>
        <v>3551</v>
      </c>
      <c r="G42" s="848">
        <v>3</v>
      </c>
      <c r="H42" s="1013">
        <f t="shared" si="3"/>
        <v>10653</v>
      </c>
      <c r="I42" s="848">
        <v>3</v>
      </c>
      <c r="J42" s="849">
        <f t="shared" si="4"/>
        <v>10653</v>
      </c>
      <c r="K42" s="848">
        <v>3</v>
      </c>
      <c r="L42" s="849">
        <f t="shared" si="5"/>
        <v>10653</v>
      </c>
      <c r="M42" s="194"/>
    </row>
    <row r="43" spans="1:13" ht="14.25" customHeight="1">
      <c r="A43" s="1501"/>
      <c r="B43" s="848" t="s">
        <v>365</v>
      </c>
      <c r="C43" s="246" t="s">
        <v>814</v>
      </c>
      <c r="D43" s="927">
        <v>7130840029</v>
      </c>
      <c r="E43" s="848" t="s">
        <v>1611</v>
      </c>
      <c r="F43" s="874">
        <f>VLOOKUP(D43,'SOR RATE'!A:D,4,0)</f>
        <v>517</v>
      </c>
      <c r="G43" s="848">
        <v>12</v>
      </c>
      <c r="H43" s="1013">
        <f t="shared" si="3"/>
        <v>6204</v>
      </c>
      <c r="I43" s="848">
        <v>12</v>
      </c>
      <c r="J43" s="849">
        <f t="shared" si="4"/>
        <v>6204</v>
      </c>
      <c r="K43" s="848">
        <v>15</v>
      </c>
      <c r="L43" s="849">
        <f t="shared" si="5"/>
        <v>7755</v>
      </c>
      <c r="M43" s="194"/>
    </row>
    <row r="44" spans="1:12" ht="15" customHeight="1">
      <c r="A44" s="1501"/>
      <c r="B44" s="848" t="s">
        <v>1975</v>
      </c>
      <c r="C44" s="847" t="s">
        <v>1610</v>
      </c>
      <c r="D44" s="927">
        <v>7131930321</v>
      </c>
      <c r="E44" s="848" t="s">
        <v>1611</v>
      </c>
      <c r="F44" s="874">
        <f>VLOOKUP(D44,'SOR RATE'!A:D,4,0)</f>
        <v>20846</v>
      </c>
      <c r="G44" s="848">
        <v>1</v>
      </c>
      <c r="H44" s="1013">
        <f t="shared" si="3"/>
        <v>20846</v>
      </c>
      <c r="I44" s="848">
        <v>1</v>
      </c>
      <c r="J44" s="849">
        <f t="shared" si="4"/>
        <v>20846</v>
      </c>
      <c r="K44" s="848">
        <v>1</v>
      </c>
      <c r="L44" s="849">
        <f t="shared" si="5"/>
        <v>20846</v>
      </c>
    </row>
    <row r="45" spans="1:12" ht="15.75" customHeight="1">
      <c r="A45" s="1501"/>
      <c r="B45" s="848" t="s">
        <v>1976</v>
      </c>
      <c r="C45" s="847" t="s">
        <v>1977</v>
      </c>
      <c r="D45" s="927">
        <v>7131930221</v>
      </c>
      <c r="E45" s="848" t="s">
        <v>1611</v>
      </c>
      <c r="F45" s="874">
        <f>VLOOKUP(D45,'SOR RATE'!A:D,4,0)</f>
        <v>8675</v>
      </c>
      <c r="G45" s="848">
        <v>3</v>
      </c>
      <c r="H45" s="1013">
        <f t="shared" si="3"/>
        <v>26025</v>
      </c>
      <c r="I45" s="848">
        <v>3</v>
      </c>
      <c r="J45" s="849">
        <f t="shared" si="4"/>
        <v>26025</v>
      </c>
      <c r="K45" s="848">
        <v>4</v>
      </c>
      <c r="L45" s="849">
        <f t="shared" si="5"/>
        <v>34700</v>
      </c>
    </row>
    <row r="46" spans="1:13" ht="14.25" customHeight="1">
      <c r="A46" s="1501"/>
      <c r="B46" s="848" t="s">
        <v>1978</v>
      </c>
      <c r="C46" s="847" t="s">
        <v>1979</v>
      </c>
      <c r="D46" s="927">
        <v>7132230057</v>
      </c>
      <c r="E46" s="848" t="s">
        <v>1611</v>
      </c>
      <c r="F46" s="874">
        <f>VLOOKUP(D46,'SOR RATE'!A:D,4,0)</f>
        <v>16904</v>
      </c>
      <c r="G46" s="848">
        <v>3</v>
      </c>
      <c r="H46" s="1013">
        <f t="shared" si="3"/>
        <v>50712</v>
      </c>
      <c r="I46" s="848">
        <v>3</v>
      </c>
      <c r="J46" s="849">
        <f t="shared" si="4"/>
        <v>50712</v>
      </c>
      <c r="K46" s="848">
        <v>3</v>
      </c>
      <c r="L46" s="849">
        <f t="shared" si="5"/>
        <v>50712</v>
      </c>
      <c r="M46" s="194"/>
    </row>
    <row r="47" spans="1:12" ht="14.25" customHeight="1">
      <c r="A47" s="1501"/>
      <c r="B47" s="848" t="s">
        <v>1980</v>
      </c>
      <c r="C47" s="847" t="s">
        <v>1981</v>
      </c>
      <c r="D47" s="927">
        <v>7132230427</v>
      </c>
      <c r="E47" s="848" t="s">
        <v>1611</v>
      </c>
      <c r="F47" s="874">
        <f>VLOOKUP(D47,'SOR RATE'!A:D,4,0)</f>
        <v>67142</v>
      </c>
      <c r="G47" s="848">
        <v>1</v>
      </c>
      <c r="H47" s="1013">
        <f t="shared" si="3"/>
        <v>67142</v>
      </c>
      <c r="I47" s="848">
        <v>1</v>
      </c>
      <c r="J47" s="849">
        <f t="shared" si="4"/>
        <v>67142</v>
      </c>
      <c r="K47" s="848">
        <v>1</v>
      </c>
      <c r="L47" s="849">
        <f t="shared" si="5"/>
        <v>67142</v>
      </c>
    </row>
    <row r="48" spans="1:12" ht="14.25" customHeight="1">
      <c r="A48" s="1501"/>
      <c r="B48" s="848" t="s">
        <v>1982</v>
      </c>
      <c r="C48" s="847" t="s">
        <v>1983</v>
      </c>
      <c r="D48" s="927">
        <v>7132230412</v>
      </c>
      <c r="E48" s="848" t="s">
        <v>1611</v>
      </c>
      <c r="F48" s="874">
        <f>VLOOKUP(D48,'SOR RATE'!A:D,4,0)</f>
        <v>31171</v>
      </c>
      <c r="G48" s="848">
        <v>2</v>
      </c>
      <c r="H48" s="1013">
        <f t="shared" si="3"/>
        <v>62342</v>
      </c>
      <c r="I48" s="848">
        <v>2</v>
      </c>
      <c r="J48" s="849">
        <f t="shared" si="4"/>
        <v>62342</v>
      </c>
      <c r="K48" s="848">
        <v>3</v>
      </c>
      <c r="L48" s="849">
        <f t="shared" si="5"/>
        <v>93513</v>
      </c>
    </row>
    <row r="49" spans="1:15" ht="18" customHeight="1">
      <c r="A49" s="1501"/>
      <c r="B49" s="848" t="s">
        <v>1984</v>
      </c>
      <c r="C49" s="847" t="s">
        <v>1956</v>
      </c>
      <c r="D49" s="927">
        <v>7132230056</v>
      </c>
      <c r="E49" s="848" t="s">
        <v>1611</v>
      </c>
      <c r="F49" s="849">
        <f>VLOOKUP(D49,'SOR RATE'!A:D,4,0)</f>
        <v>9356</v>
      </c>
      <c r="G49" s="848">
        <v>3</v>
      </c>
      <c r="H49" s="1013">
        <f t="shared" si="3"/>
        <v>28068</v>
      </c>
      <c r="I49" s="848">
        <v>3</v>
      </c>
      <c r="J49" s="849">
        <f t="shared" si="4"/>
        <v>28068</v>
      </c>
      <c r="K49" s="848">
        <v>3</v>
      </c>
      <c r="L49" s="849">
        <f t="shared" si="5"/>
        <v>28068</v>
      </c>
      <c r="M49" s="518" t="s">
        <v>765</v>
      </c>
      <c r="N49" s="443" t="s">
        <v>676</v>
      </c>
      <c r="O49" s="518"/>
    </row>
    <row r="50" spans="1:12" ht="30">
      <c r="A50" s="1501"/>
      <c r="B50" s="1506" t="s">
        <v>1957</v>
      </c>
      <c r="C50" s="931" t="s">
        <v>1958</v>
      </c>
      <c r="D50" s="927"/>
      <c r="E50" s="135" t="s">
        <v>83</v>
      </c>
      <c r="F50" s="860">
        <f>H51+H52</f>
        <v>2987</v>
      </c>
      <c r="G50" s="1015">
        <v>1</v>
      </c>
      <c r="H50" s="1013"/>
      <c r="I50" s="1015">
        <v>1</v>
      </c>
      <c r="J50" s="849"/>
      <c r="K50" s="848">
        <v>1</v>
      </c>
      <c r="L50" s="849"/>
    </row>
    <row r="51" spans="1:13" ht="14.25" customHeight="1">
      <c r="A51" s="1501"/>
      <c r="B51" s="1507"/>
      <c r="C51" s="246" t="s">
        <v>1959</v>
      </c>
      <c r="D51" s="927">
        <v>7131310997</v>
      </c>
      <c r="E51" s="225" t="s">
        <v>83</v>
      </c>
      <c r="F51" s="874">
        <f>VLOOKUP(D51,'SOR RATE'!A:D,4,0)</f>
        <v>2027</v>
      </c>
      <c r="G51" s="1016">
        <v>1</v>
      </c>
      <c r="H51" s="1013">
        <f>F51*G51</f>
        <v>2027</v>
      </c>
      <c r="I51" s="1016">
        <v>1</v>
      </c>
      <c r="J51" s="849">
        <f>I51*F51</f>
        <v>2027</v>
      </c>
      <c r="K51" s="225">
        <v>1</v>
      </c>
      <c r="L51" s="849">
        <f>K51*F51</f>
        <v>2027</v>
      </c>
      <c r="M51" s="202"/>
    </row>
    <row r="52" spans="1:12" ht="14.25" customHeight="1">
      <c r="A52" s="1501"/>
      <c r="B52" s="1508"/>
      <c r="C52" s="246" t="s">
        <v>1960</v>
      </c>
      <c r="D52" s="927">
        <v>7132230016</v>
      </c>
      <c r="E52" s="225" t="s">
        <v>83</v>
      </c>
      <c r="F52" s="874">
        <f>VLOOKUP(D52,'SOR RATE'!A:D,4,0)</f>
        <v>320</v>
      </c>
      <c r="G52" s="1016">
        <v>3</v>
      </c>
      <c r="H52" s="1013">
        <f>F52*G52</f>
        <v>960</v>
      </c>
      <c r="I52" s="1016">
        <v>3</v>
      </c>
      <c r="J52" s="849">
        <f>I52*F52</f>
        <v>960</v>
      </c>
      <c r="K52" s="225">
        <v>3</v>
      </c>
      <c r="L52" s="849">
        <f>K52*F52</f>
        <v>960</v>
      </c>
    </row>
    <row r="53" spans="1:12" ht="15" customHeight="1">
      <c r="A53" s="1501"/>
      <c r="B53" s="1506" t="s">
        <v>1961</v>
      </c>
      <c r="C53" s="1017" t="s">
        <v>1962</v>
      </c>
      <c r="D53" s="927"/>
      <c r="E53" s="225" t="s">
        <v>83</v>
      </c>
      <c r="F53" s="939">
        <f>+H54</f>
        <v>10302</v>
      </c>
      <c r="G53" s="1016">
        <v>3</v>
      </c>
      <c r="H53" s="1013"/>
      <c r="I53" s="1016">
        <v>3</v>
      </c>
      <c r="J53" s="849"/>
      <c r="K53" s="225">
        <v>4</v>
      </c>
      <c r="L53" s="849"/>
    </row>
    <row r="54" spans="1:13" ht="28.5">
      <c r="A54" s="1501"/>
      <c r="B54" s="1508"/>
      <c r="C54" s="246" t="s">
        <v>1963</v>
      </c>
      <c r="D54" s="927">
        <v>7131310033</v>
      </c>
      <c r="E54" s="1013" t="s">
        <v>83</v>
      </c>
      <c r="F54" s="849">
        <f>VLOOKUP(D54,'SOR RATE'!A:D,4,0)</f>
        <v>3434</v>
      </c>
      <c r="G54" s="1018">
        <v>3</v>
      </c>
      <c r="H54" s="1013">
        <f>F54*G54</f>
        <v>10302</v>
      </c>
      <c r="I54" s="848">
        <v>3</v>
      </c>
      <c r="J54" s="849">
        <f>I54*F54</f>
        <v>10302</v>
      </c>
      <c r="K54" s="848">
        <v>4</v>
      </c>
      <c r="L54" s="849">
        <f>K54*F54</f>
        <v>13736</v>
      </c>
      <c r="M54" s="249" t="s">
        <v>766</v>
      </c>
    </row>
    <row r="55" spans="1:12" ht="30">
      <c r="A55" s="1501"/>
      <c r="B55" s="848" t="s">
        <v>1964</v>
      </c>
      <c r="C55" s="931" t="s">
        <v>1965</v>
      </c>
      <c r="D55" s="927"/>
      <c r="E55" s="848" t="s">
        <v>83</v>
      </c>
      <c r="F55" s="860">
        <f>H56+H57</f>
        <v>65884</v>
      </c>
      <c r="G55" s="848">
        <v>1</v>
      </c>
      <c r="H55" s="1013"/>
      <c r="I55" s="848">
        <v>1</v>
      </c>
      <c r="J55" s="849"/>
      <c r="K55" s="848">
        <v>1</v>
      </c>
      <c r="L55" s="849"/>
    </row>
    <row r="56" spans="1:12" ht="14.25" customHeight="1">
      <c r="A56" s="1501"/>
      <c r="B56" s="225"/>
      <c r="C56" s="246" t="s">
        <v>1966</v>
      </c>
      <c r="D56" s="927">
        <v>7132404366</v>
      </c>
      <c r="E56" s="225" t="s">
        <v>83</v>
      </c>
      <c r="F56" s="874">
        <f>VLOOKUP(D56,'SOR RATE'!A:D,4,0)</f>
        <v>57653</v>
      </c>
      <c r="G56" s="225">
        <v>1</v>
      </c>
      <c r="H56" s="1013">
        <f aca="true" t="shared" si="6" ref="H56:H62">F56*G56</f>
        <v>57653</v>
      </c>
      <c r="I56" s="225">
        <v>1</v>
      </c>
      <c r="J56" s="849">
        <f aca="true" t="shared" si="7" ref="J56:J62">I56*F56</f>
        <v>57653</v>
      </c>
      <c r="K56" s="225">
        <v>1</v>
      </c>
      <c r="L56" s="849">
        <f>K56*F56</f>
        <v>57653</v>
      </c>
    </row>
    <row r="57" spans="1:12" ht="14.25" customHeight="1">
      <c r="A57" s="1501"/>
      <c r="B57" s="225">
        <v>1</v>
      </c>
      <c r="C57" s="246" t="s">
        <v>1967</v>
      </c>
      <c r="D57" s="927">
        <v>7132468558</v>
      </c>
      <c r="E57" s="225" t="s">
        <v>83</v>
      </c>
      <c r="F57" s="874">
        <f>VLOOKUP(D57,'SOR RATE'!A:D,4,0)</f>
        <v>8231</v>
      </c>
      <c r="G57" s="225">
        <v>1</v>
      </c>
      <c r="H57" s="1013">
        <f t="shared" si="6"/>
        <v>8231</v>
      </c>
      <c r="I57" s="225">
        <v>1</v>
      </c>
      <c r="J57" s="849">
        <f t="shared" si="7"/>
        <v>8231</v>
      </c>
      <c r="K57" s="225">
        <v>1</v>
      </c>
      <c r="L57" s="849">
        <f>K57*F57</f>
        <v>8231</v>
      </c>
    </row>
    <row r="58" spans="1:16" ht="14.25" customHeight="1">
      <c r="A58" s="1501"/>
      <c r="B58" s="848" t="s">
        <v>1968</v>
      </c>
      <c r="C58" s="847" t="s">
        <v>1969</v>
      </c>
      <c r="D58" s="927">
        <v>7132210215</v>
      </c>
      <c r="E58" s="848" t="s">
        <v>1611</v>
      </c>
      <c r="F58" s="874">
        <f>VLOOKUP(D58,'SOR RATE'!A:D,4,0)</f>
        <v>133346</v>
      </c>
      <c r="G58" s="1015">
        <v>0</v>
      </c>
      <c r="H58" s="1013">
        <f t="shared" si="6"/>
        <v>0</v>
      </c>
      <c r="I58" s="1015">
        <v>0</v>
      </c>
      <c r="J58" s="849">
        <f t="shared" si="7"/>
        <v>0</v>
      </c>
      <c r="K58" s="848">
        <v>2</v>
      </c>
      <c r="L58" s="849">
        <f>K58*F58</f>
        <v>266692</v>
      </c>
      <c r="M58" s="547" t="s">
        <v>767</v>
      </c>
      <c r="N58" s="149"/>
      <c r="O58" s="149"/>
      <c r="P58" s="149"/>
    </row>
    <row r="59" spans="1:15" ht="14.25" customHeight="1">
      <c r="A59" s="1501"/>
      <c r="B59" s="848" t="s">
        <v>1970</v>
      </c>
      <c r="C59" s="847" t="s">
        <v>525</v>
      </c>
      <c r="D59" s="927">
        <v>7132210010</v>
      </c>
      <c r="E59" s="848" t="s">
        <v>1611</v>
      </c>
      <c r="F59" s="874">
        <f>VLOOKUP(D59,'SOR RATE'!A:D,4,0)</f>
        <v>116682</v>
      </c>
      <c r="G59" s="1015">
        <v>1</v>
      </c>
      <c r="H59" s="1013">
        <f t="shared" si="6"/>
        <v>116682</v>
      </c>
      <c r="I59" s="1015">
        <v>1</v>
      </c>
      <c r="J59" s="849">
        <f t="shared" si="7"/>
        <v>116682</v>
      </c>
      <c r="K59" s="848"/>
      <c r="L59" s="849"/>
      <c r="M59" s="525" t="s">
        <v>1928</v>
      </c>
      <c r="N59" s="1499" t="s">
        <v>526</v>
      </c>
      <c r="O59" s="1499"/>
    </row>
    <row r="60" spans="1:12" ht="14.25" customHeight="1">
      <c r="A60" s="1501"/>
      <c r="B60" s="848" t="s">
        <v>1784</v>
      </c>
      <c r="C60" s="847" t="s">
        <v>1971</v>
      </c>
      <c r="D60" s="927">
        <v>7131950065</v>
      </c>
      <c r="E60" s="848" t="s">
        <v>1611</v>
      </c>
      <c r="F60" s="874">
        <f>VLOOKUP(D60,'SOR RATE'!A:D,4,0)</f>
        <v>13758</v>
      </c>
      <c r="G60" s="1015">
        <v>0</v>
      </c>
      <c r="H60" s="1013">
        <f t="shared" si="6"/>
        <v>0</v>
      </c>
      <c r="I60" s="1015">
        <v>0</v>
      </c>
      <c r="J60" s="849">
        <f t="shared" si="7"/>
        <v>0</v>
      </c>
      <c r="K60" s="848">
        <v>2</v>
      </c>
      <c r="L60" s="849">
        <f>K60*F60</f>
        <v>27516</v>
      </c>
    </row>
    <row r="61" spans="1:13" ht="14.25" customHeight="1">
      <c r="A61" s="1501"/>
      <c r="B61" s="848" t="s">
        <v>1786</v>
      </c>
      <c r="C61" s="847" t="s">
        <v>527</v>
      </c>
      <c r="D61" s="927">
        <v>7131950105</v>
      </c>
      <c r="E61" s="848" t="s">
        <v>1611</v>
      </c>
      <c r="F61" s="874">
        <f>VLOOKUP(D61,'SOR RATE'!A:D,4,0)</f>
        <v>17198</v>
      </c>
      <c r="G61" s="1015">
        <v>1</v>
      </c>
      <c r="H61" s="1013">
        <f t="shared" si="6"/>
        <v>17198</v>
      </c>
      <c r="I61" s="1015">
        <v>1</v>
      </c>
      <c r="J61" s="849">
        <f t="shared" si="7"/>
        <v>17198</v>
      </c>
      <c r="K61" s="848"/>
      <c r="L61" s="849"/>
      <c r="M61" s="525" t="s">
        <v>1928</v>
      </c>
    </row>
    <row r="62" spans="1:14" ht="42.75">
      <c r="A62" s="1501"/>
      <c r="B62" s="472" t="s">
        <v>1766</v>
      </c>
      <c r="C62" s="246" t="s">
        <v>1785</v>
      </c>
      <c r="D62" s="224">
        <v>7130601958</v>
      </c>
      <c r="E62" s="221" t="s">
        <v>1576</v>
      </c>
      <c r="F62" s="849">
        <f>VLOOKUP(D62,'SOR RATE'!A:D,4,0)/1000</f>
        <v>32.575</v>
      </c>
      <c r="G62" s="848">
        <f>37.1*11*6</f>
        <v>2448.6000000000004</v>
      </c>
      <c r="H62" s="849">
        <f t="shared" si="6"/>
        <v>79763.14500000002</v>
      </c>
      <c r="I62" s="848">
        <f>+G62</f>
        <v>2448.6000000000004</v>
      </c>
      <c r="J62" s="849">
        <f t="shared" si="7"/>
        <v>79763.14500000002</v>
      </c>
      <c r="K62" s="848">
        <f>+G62</f>
        <v>2448.6000000000004</v>
      </c>
      <c r="L62" s="849">
        <f>K62*F62</f>
        <v>79763.14500000002</v>
      </c>
      <c r="M62" s="595" t="s">
        <v>245</v>
      </c>
      <c r="N62" s="1342"/>
    </row>
    <row r="63" spans="1:12" ht="15" customHeight="1">
      <c r="A63" s="1501"/>
      <c r="B63" s="472" t="s">
        <v>1768</v>
      </c>
      <c r="C63" s="931" t="s">
        <v>1787</v>
      </c>
      <c r="D63" s="1019"/>
      <c r="E63" s="1020"/>
      <c r="F63" s="1020"/>
      <c r="G63" s="1020"/>
      <c r="H63" s="1020"/>
      <c r="I63" s="1020"/>
      <c r="J63" s="1020"/>
      <c r="K63" s="1020"/>
      <c r="L63" s="1021"/>
    </row>
    <row r="64" spans="1:13" ht="14.25" customHeight="1">
      <c r="A64" s="1501"/>
      <c r="B64" s="472" t="s">
        <v>1788</v>
      </c>
      <c r="C64" s="246" t="s">
        <v>1789</v>
      </c>
      <c r="D64" s="927">
        <v>7130310658</v>
      </c>
      <c r="E64" s="472" t="s">
        <v>1333</v>
      </c>
      <c r="F64" s="874">
        <f>VLOOKUP(D64,'SOR RATE'!A:D,4,0)/1000</f>
        <v>106.359</v>
      </c>
      <c r="G64" s="472">
        <v>360</v>
      </c>
      <c r="H64" s="1013">
        <f aca="true" t="shared" si="8" ref="H64:H71">F64*G64</f>
        <v>38289.24</v>
      </c>
      <c r="I64" s="472">
        <v>360</v>
      </c>
      <c r="J64" s="849">
        <f aca="true" t="shared" si="9" ref="J64:J71">I64*F64</f>
        <v>38289.24</v>
      </c>
      <c r="K64" s="472">
        <v>480</v>
      </c>
      <c r="L64" s="849">
        <f aca="true" t="shared" si="10" ref="L64:L71">K64*F64</f>
        <v>51052.32</v>
      </c>
      <c r="M64" s="518" t="s">
        <v>770</v>
      </c>
    </row>
    <row r="65" spans="1:13" ht="14.25" customHeight="1">
      <c r="A65" s="1501"/>
      <c r="B65" s="472" t="s">
        <v>1790</v>
      </c>
      <c r="C65" s="246" t="s">
        <v>1791</v>
      </c>
      <c r="D65" s="927">
        <v>7130310654</v>
      </c>
      <c r="E65" s="472" t="s">
        <v>1333</v>
      </c>
      <c r="F65" s="874">
        <f>VLOOKUP(D65,'SOR RATE'!A:D,4,0)/1000</f>
        <v>58.843</v>
      </c>
      <c r="G65" s="472">
        <v>360</v>
      </c>
      <c r="H65" s="1013">
        <f t="shared" si="8"/>
        <v>21183.48</v>
      </c>
      <c r="I65" s="472">
        <v>360</v>
      </c>
      <c r="J65" s="849">
        <f t="shared" si="9"/>
        <v>21183.48</v>
      </c>
      <c r="K65" s="472">
        <v>510</v>
      </c>
      <c r="L65" s="849">
        <f t="shared" si="10"/>
        <v>30009.93</v>
      </c>
      <c r="M65" s="518" t="s">
        <v>771</v>
      </c>
    </row>
    <row r="66" spans="1:12" ht="14.25" customHeight="1">
      <c r="A66" s="1501"/>
      <c r="B66" s="472" t="s">
        <v>1764</v>
      </c>
      <c r="C66" s="246" t="s">
        <v>1765</v>
      </c>
      <c r="D66" s="927">
        <v>7130310652</v>
      </c>
      <c r="E66" s="472" t="s">
        <v>1333</v>
      </c>
      <c r="F66" s="874">
        <f>VLOOKUP(D66,'SOR RATE'!A:D,4,0)/1000</f>
        <v>35.395</v>
      </c>
      <c r="G66" s="472">
        <v>180</v>
      </c>
      <c r="H66" s="1013">
        <f t="shared" si="8"/>
        <v>6371.1</v>
      </c>
      <c r="I66" s="472">
        <v>240</v>
      </c>
      <c r="J66" s="849">
        <f t="shared" si="9"/>
        <v>8494.800000000001</v>
      </c>
      <c r="K66" s="472">
        <v>300</v>
      </c>
      <c r="L66" s="849">
        <f t="shared" si="10"/>
        <v>10618.500000000002</v>
      </c>
    </row>
    <row r="67" spans="1:13" ht="14.25" customHeight="1">
      <c r="A67" s="1501"/>
      <c r="B67" s="225" t="s">
        <v>1770</v>
      </c>
      <c r="C67" s="246" t="s">
        <v>1767</v>
      </c>
      <c r="D67" s="927">
        <v>7130830585</v>
      </c>
      <c r="E67" s="225" t="s">
        <v>83</v>
      </c>
      <c r="F67" s="874">
        <f>VLOOKUP(D67,'SOR RATE'!A:D,4,0)</f>
        <v>223</v>
      </c>
      <c r="G67" s="848">
        <v>96</v>
      </c>
      <c r="H67" s="1013">
        <f t="shared" si="8"/>
        <v>21408</v>
      </c>
      <c r="I67" s="848">
        <f>+G67</f>
        <v>96</v>
      </c>
      <c r="J67" s="849">
        <f t="shared" si="9"/>
        <v>21408</v>
      </c>
      <c r="K67" s="848">
        <v>108</v>
      </c>
      <c r="L67" s="849">
        <f t="shared" si="10"/>
        <v>24084</v>
      </c>
      <c r="M67" s="518" t="s">
        <v>772</v>
      </c>
    </row>
    <row r="68" spans="1:13" ht="14.25" customHeight="1">
      <c r="A68" s="1501"/>
      <c r="B68" s="225" t="s">
        <v>1772</v>
      </c>
      <c r="C68" s="246" t="s">
        <v>1769</v>
      </c>
      <c r="D68" s="238">
        <v>7130830052</v>
      </c>
      <c r="E68" s="225" t="s">
        <v>83</v>
      </c>
      <c r="F68" s="874">
        <f>VLOOKUP(D68,'SOR RATE'!A:D,4,0)</f>
        <v>547</v>
      </c>
      <c r="G68" s="225">
        <v>7</v>
      </c>
      <c r="H68" s="1013">
        <f t="shared" si="8"/>
        <v>3829</v>
      </c>
      <c r="I68" s="225">
        <v>7</v>
      </c>
      <c r="J68" s="849">
        <f t="shared" si="9"/>
        <v>3829</v>
      </c>
      <c r="K68" s="225">
        <v>7</v>
      </c>
      <c r="L68" s="849">
        <f t="shared" si="10"/>
        <v>3829</v>
      </c>
      <c r="M68" s="151"/>
    </row>
    <row r="69" spans="1:13" ht="28.5">
      <c r="A69" s="1501"/>
      <c r="B69" s="472" t="s">
        <v>1774</v>
      </c>
      <c r="C69" s="246" t="s">
        <v>1771</v>
      </c>
      <c r="D69" s="927">
        <v>7130880041</v>
      </c>
      <c r="E69" s="848" t="s">
        <v>83</v>
      </c>
      <c r="F69" s="849">
        <f>VLOOKUP(D69,'SOR RATE'!A:D,4,0)</f>
        <v>62</v>
      </c>
      <c r="G69" s="848">
        <v>10</v>
      </c>
      <c r="H69" s="1013">
        <f t="shared" si="8"/>
        <v>620</v>
      </c>
      <c r="I69" s="848">
        <v>10</v>
      </c>
      <c r="J69" s="849">
        <f t="shared" si="9"/>
        <v>620</v>
      </c>
      <c r="K69" s="848">
        <v>10</v>
      </c>
      <c r="L69" s="849">
        <f t="shared" si="10"/>
        <v>620</v>
      </c>
      <c r="M69" s="151"/>
    </row>
    <row r="70" spans="1:13" ht="28.5">
      <c r="A70" s="1501"/>
      <c r="B70" s="472" t="s">
        <v>768</v>
      </c>
      <c r="C70" s="223" t="s">
        <v>1773</v>
      </c>
      <c r="D70" s="224">
        <v>7130601072</v>
      </c>
      <c r="E70" s="461" t="s">
        <v>1576</v>
      </c>
      <c r="F70" s="849">
        <f>VLOOKUP(D70,'SOR RATE'!A:D,4,0)/1000</f>
        <v>47.797</v>
      </c>
      <c r="G70" s="848">
        <v>300</v>
      </c>
      <c r="H70" s="1013">
        <f t="shared" si="8"/>
        <v>14339.099999999999</v>
      </c>
      <c r="I70" s="848">
        <f>+G70</f>
        <v>300</v>
      </c>
      <c r="J70" s="849">
        <f t="shared" si="9"/>
        <v>14339.099999999999</v>
      </c>
      <c r="K70" s="848">
        <f>+G70</f>
        <v>300</v>
      </c>
      <c r="L70" s="849">
        <f t="shared" si="10"/>
        <v>14339.099999999999</v>
      </c>
      <c r="M70" s="144"/>
    </row>
    <row r="71" spans="1:14" ht="15.75" customHeight="1">
      <c r="A71" s="1502"/>
      <c r="B71" s="472" t="s">
        <v>769</v>
      </c>
      <c r="C71" s="847" t="s">
        <v>1775</v>
      </c>
      <c r="D71" s="224">
        <v>7130352046</v>
      </c>
      <c r="E71" s="461" t="s">
        <v>1331</v>
      </c>
      <c r="F71" s="874">
        <f>VLOOKUP(D71,'SOR RATE'!A:D,4,0)</f>
        <v>3115</v>
      </c>
      <c r="G71" s="848">
        <v>5</v>
      </c>
      <c r="H71" s="1013">
        <f t="shared" si="8"/>
        <v>15575</v>
      </c>
      <c r="I71" s="848">
        <v>5</v>
      </c>
      <c r="J71" s="849">
        <f t="shared" si="9"/>
        <v>15575</v>
      </c>
      <c r="K71" s="848">
        <v>6</v>
      </c>
      <c r="L71" s="849">
        <f t="shared" si="10"/>
        <v>18690</v>
      </c>
      <c r="M71" s="1413" t="s">
        <v>773</v>
      </c>
      <c r="N71" s="1414"/>
    </row>
    <row r="72" spans="1:12" ht="15.75">
      <c r="A72" s="878"/>
      <c r="B72" s="83"/>
      <c r="C72" s="931" t="s">
        <v>1690</v>
      </c>
      <c r="D72" s="1022"/>
      <c r="E72" s="83"/>
      <c r="F72" s="874"/>
      <c r="G72" s="83"/>
      <c r="H72" s="939">
        <f>SUM(H24:H71)</f>
        <v>2204513.0650000004</v>
      </c>
      <c r="I72" s="939"/>
      <c r="J72" s="939">
        <f>SUM(J24:J71)</f>
        <v>3741199.765</v>
      </c>
      <c r="K72" s="939"/>
      <c r="L72" s="939">
        <f>SUM(L24:L71)</f>
        <v>5065236.994999999</v>
      </c>
    </row>
    <row r="73" spans="1:12" ht="15" customHeight="1">
      <c r="A73" s="1500">
        <v>3</v>
      </c>
      <c r="B73" s="83"/>
      <c r="C73" s="1023" t="s">
        <v>1691</v>
      </c>
      <c r="D73" s="1024"/>
      <c r="E73" s="1023"/>
      <c r="F73" s="1025"/>
      <c r="G73" s="1025"/>
      <c r="H73" s="1025"/>
      <c r="I73" s="1025"/>
      <c r="J73" s="1025"/>
      <c r="K73" s="1025"/>
      <c r="L73" s="1026"/>
    </row>
    <row r="74" spans="1:12" ht="42.75">
      <c r="A74" s="1501"/>
      <c r="B74" s="221" t="s">
        <v>71</v>
      </c>
      <c r="C74" s="246" t="s">
        <v>1692</v>
      </c>
      <c r="D74" s="224">
        <v>7130601958</v>
      </c>
      <c r="E74" s="221" t="s">
        <v>1576</v>
      </c>
      <c r="F74" s="849">
        <f>VLOOKUP(D74,'SOR RATE'!A:D,4,0)/1000</f>
        <v>32.575</v>
      </c>
      <c r="G74" s="1027">
        <v>2968</v>
      </c>
      <c r="H74" s="1013">
        <f aca="true" t="shared" si="11" ref="H74:H90">F74*G74</f>
        <v>96682.6</v>
      </c>
      <c r="I74" s="1027">
        <v>2968</v>
      </c>
      <c r="J74" s="849">
        <f aca="true" t="shared" si="12" ref="J74:J90">I74*F74</f>
        <v>96682.6</v>
      </c>
      <c r="K74" s="221">
        <v>3561.6</v>
      </c>
      <c r="L74" s="849">
        <f aca="true" t="shared" si="13" ref="L74:L90">K74*F74</f>
        <v>116019.12000000001</v>
      </c>
    </row>
    <row r="75" spans="1:12" ht="42.75">
      <c r="A75" s="1501"/>
      <c r="B75" s="221" t="s">
        <v>1578</v>
      </c>
      <c r="C75" s="246" t="s">
        <v>996</v>
      </c>
      <c r="D75" s="224">
        <v>7130601958</v>
      </c>
      <c r="E75" s="221" t="s">
        <v>1576</v>
      </c>
      <c r="F75" s="849">
        <f>+F74</f>
        <v>32.575</v>
      </c>
      <c r="G75" s="221">
        <v>1038.8</v>
      </c>
      <c r="H75" s="1013">
        <f t="shared" si="11"/>
        <v>33838.91</v>
      </c>
      <c r="I75" s="221">
        <v>1038.8</v>
      </c>
      <c r="J75" s="849">
        <f t="shared" si="12"/>
        <v>33838.91</v>
      </c>
      <c r="K75" s="1027">
        <v>1038.8</v>
      </c>
      <c r="L75" s="849">
        <f t="shared" si="13"/>
        <v>33838.91</v>
      </c>
    </row>
    <row r="76" spans="1:13" ht="42.75">
      <c r="A76" s="1501"/>
      <c r="B76" s="221" t="s">
        <v>352</v>
      </c>
      <c r="C76" s="246" t="s">
        <v>1669</v>
      </c>
      <c r="D76" s="224">
        <v>7130601958</v>
      </c>
      <c r="E76" s="221" t="s">
        <v>1576</v>
      </c>
      <c r="F76" s="849">
        <f>+F74</f>
        <v>32.575</v>
      </c>
      <c r="G76" s="221">
        <v>3264.8</v>
      </c>
      <c r="H76" s="1013">
        <f t="shared" si="11"/>
        <v>106350.86000000002</v>
      </c>
      <c r="I76" s="221">
        <f>+G76</f>
        <v>3264.8</v>
      </c>
      <c r="J76" s="849">
        <f t="shared" si="12"/>
        <v>106350.86000000002</v>
      </c>
      <c r="K76" s="1027">
        <v>4081</v>
      </c>
      <c r="L76" s="849">
        <f t="shared" si="13"/>
        <v>132938.575</v>
      </c>
      <c r="M76" s="106"/>
    </row>
    <row r="77" spans="1:13" ht="28.5">
      <c r="A77" s="1501"/>
      <c r="B77" s="221" t="s">
        <v>354</v>
      </c>
      <c r="C77" s="847" t="s">
        <v>1670</v>
      </c>
      <c r="D77" s="224">
        <v>7130810684</v>
      </c>
      <c r="E77" s="221" t="s">
        <v>83</v>
      </c>
      <c r="F77" s="849">
        <f>VLOOKUP(D77,'SOR RATE'!A:D,4,0)</f>
        <v>6989.71</v>
      </c>
      <c r="G77" s="1027">
        <v>22</v>
      </c>
      <c r="H77" s="1013">
        <f t="shared" si="11"/>
        <v>153773.62</v>
      </c>
      <c r="I77" s="1027">
        <v>22</v>
      </c>
      <c r="J77" s="849">
        <f t="shared" si="12"/>
        <v>153773.62</v>
      </c>
      <c r="K77" s="221">
        <v>28</v>
      </c>
      <c r="L77" s="849">
        <f t="shared" si="13"/>
        <v>195711.88</v>
      </c>
      <c r="M77" s="106"/>
    </row>
    <row r="78" spans="1:17" ht="28.5">
      <c r="A78" s="1501"/>
      <c r="B78" s="221" t="s">
        <v>356</v>
      </c>
      <c r="C78" s="847" t="s">
        <v>1671</v>
      </c>
      <c r="D78" s="224">
        <v>7130810006</v>
      </c>
      <c r="E78" s="221" t="s">
        <v>83</v>
      </c>
      <c r="F78" s="849">
        <f>VLOOKUP(D78,'SOR RATE'!A:D,4,0)</f>
        <v>5626.81</v>
      </c>
      <c r="G78" s="1027">
        <v>2</v>
      </c>
      <c r="H78" s="1013">
        <f t="shared" si="11"/>
        <v>11253.62</v>
      </c>
      <c r="I78" s="1027">
        <v>2</v>
      </c>
      <c r="J78" s="849">
        <f t="shared" si="12"/>
        <v>11253.62</v>
      </c>
      <c r="K78" s="221">
        <v>9</v>
      </c>
      <c r="L78" s="849">
        <f t="shared" si="13"/>
        <v>50641.29</v>
      </c>
      <c r="M78" s="523" t="s">
        <v>774</v>
      </c>
      <c r="N78" s="518"/>
      <c r="O78" s="518"/>
      <c r="P78" s="518"/>
      <c r="Q78" s="518"/>
    </row>
    <row r="79" spans="1:15" ht="29.25" customHeight="1">
      <c r="A79" s="1501"/>
      <c r="B79" s="221" t="s">
        <v>358</v>
      </c>
      <c r="C79" s="847" t="s">
        <v>164</v>
      </c>
      <c r="D79" s="224">
        <v>7130810608</v>
      </c>
      <c r="E79" s="221" t="s">
        <v>83</v>
      </c>
      <c r="F79" s="849">
        <f>VLOOKUP(D79,'SOR RATE'!A:D,4,0)</f>
        <v>4444.09</v>
      </c>
      <c r="G79" s="1027">
        <v>9</v>
      </c>
      <c r="H79" s="1013">
        <f t="shared" si="11"/>
        <v>39996.81</v>
      </c>
      <c r="I79" s="1027">
        <v>9</v>
      </c>
      <c r="J79" s="849">
        <f t="shared" si="12"/>
        <v>39996.81</v>
      </c>
      <c r="K79" s="221">
        <v>11</v>
      </c>
      <c r="L79" s="849">
        <f t="shared" si="13"/>
        <v>48884.990000000005</v>
      </c>
      <c r="M79" s="523" t="s">
        <v>775</v>
      </c>
      <c r="N79" s="518"/>
      <c r="O79" s="518"/>
    </row>
    <row r="80" spans="1:13" ht="30.75" customHeight="1">
      <c r="A80" s="1501"/>
      <c r="B80" s="221" t="s">
        <v>359</v>
      </c>
      <c r="C80" s="925" t="s">
        <v>529</v>
      </c>
      <c r="D80" s="1028">
        <v>7130810509</v>
      </c>
      <c r="E80" s="221" t="s">
        <v>1330</v>
      </c>
      <c r="F80" s="849">
        <f>VLOOKUP(D80,'SOR RATE'!A205:D205,4,0)</f>
        <v>2745.63</v>
      </c>
      <c r="G80" s="1027">
        <v>1</v>
      </c>
      <c r="H80" s="1013">
        <f t="shared" si="11"/>
        <v>2745.63</v>
      </c>
      <c r="I80" s="1027">
        <v>1</v>
      </c>
      <c r="J80" s="849">
        <f t="shared" si="12"/>
        <v>2745.63</v>
      </c>
      <c r="K80" s="221">
        <v>2</v>
      </c>
      <c r="L80" s="849">
        <f t="shared" si="13"/>
        <v>5491.26</v>
      </c>
      <c r="M80" s="523" t="s">
        <v>776</v>
      </c>
    </row>
    <row r="81" spans="1:13" ht="16.5" customHeight="1">
      <c r="A81" s="1501"/>
      <c r="B81" s="221" t="s">
        <v>362</v>
      </c>
      <c r="C81" s="1029" t="s">
        <v>528</v>
      </c>
      <c r="D81" s="1030">
        <v>7130600675</v>
      </c>
      <c r="E81" s="221" t="s">
        <v>1576</v>
      </c>
      <c r="F81" s="849">
        <f>VLOOKUP(D81,'SOR RATE'!A:D,4,0)/1000</f>
        <v>32.575</v>
      </c>
      <c r="G81" s="1027">
        <v>468</v>
      </c>
      <c r="H81" s="1013">
        <f t="shared" si="11"/>
        <v>15245.100000000002</v>
      </c>
      <c r="I81" s="1027">
        <v>468</v>
      </c>
      <c r="J81" s="849">
        <f t="shared" si="12"/>
        <v>15245.100000000002</v>
      </c>
      <c r="K81" s="221">
        <v>546</v>
      </c>
      <c r="L81" s="849">
        <f t="shared" si="13"/>
        <v>17785.95</v>
      </c>
      <c r="M81" s="1344" t="s">
        <v>777</v>
      </c>
    </row>
    <row r="82" spans="1:12" ht="18.75" customHeight="1">
      <c r="A82" s="1501"/>
      <c r="B82" s="848" t="s">
        <v>363</v>
      </c>
      <c r="C82" s="847" t="s">
        <v>165</v>
      </c>
      <c r="D82" s="224">
        <v>7130830063</v>
      </c>
      <c r="E82" s="848" t="s">
        <v>1721</v>
      </c>
      <c r="F82" s="849">
        <f>VLOOKUP(D82,'SOR RATE'!A:D,4,0)/1000</f>
        <v>54.885</v>
      </c>
      <c r="G82" s="848">
        <v>500</v>
      </c>
      <c r="H82" s="1013">
        <f t="shared" si="11"/>
        <v>27442.5</v>
      </c>
      <c r="I82" s="848">
        <v>500</v>
      </c>
      <c r="J82" s="849">
        <f t="shared" si="12"/>
        <v>27442.5</v>
      </c>
      <c r="K82" s="848">
        <v>600</v>
      </c>
      <c r="L82" s="849">
        <f t="shared" si="13"/>
        <v>32931</v>
      </c>
    </row>
    <row r="83" spans="1:13" ht="14.25" customHeight="1">
      <c r="A83" s="1501"/>
      <c r="B83" s="848" t="s">
        <v>365</v>
      </c>
      <c r="C83" s="246" t="s">
        <v>671</v>
      </c>
      <c r="D83" s="238">
        <v>7130820009</v>
      </c>
      <c r="E83" s="225" t="s">
        <v>1611</v>
      </c>
      <c r="F83" s="849">
        <f>VLOOKUP(D83,'SOR RATE'!A:D,4,0)</f>
        <v>385</v>
      </c>
      <c r="G83" s="225">
        <v>6</v>
      </c>
      <c r="H83" s="1013">
        <f t="shared" si="11"/>
        <v>2310</v>
      </c>
      <c r="I83" s="225">
        <v>6</v>
      </c>
      <c r="J83" s="849">
        <f t="shared" si="12"/>
        <v>2310</v>
      </c>
      <c r="K83" s="225">
        <v>9</v>
      </c>
      <c r="L83" s="849">
        <f t="shared" si="13"/>
        <v>3465</v>
      </c>
      <c r="M83" s="194"/>
    </row>
    <row r="84" spans="1:13" ht="14.25" customHeight="1">
      <c r="A84" s="1501"/>
      <c r="B84" s="848" t="s">
        <v>1975</v>
      </c>
      <c r="C84" s="246" t="s">
        <v>672</v>
      </c>
      <c r="D84" s="238">
        <v>7130820008</v>
      </c>
      <c r="E84" s="225" t="s">
        <v>1611</v>
      </c>
      <c r="F84" s="849">
        <f>VLOOKUP(D84,'SOR RATE'!A:D,4,0)</f>
        <v>202</v>
      </c>
      <c r="G84" s="225">
        <v>9</v>
      </c>
      <c r="H84" s="1013">
        <f t="shared" si="11"/>
        <v>1818</v>
      </c>
      <c r="I84" s="225">
        <v>12</v>
      </c>
      <c r="J84" s="849">
        <f t="shared" si="12"/>
        <v>2424</v>
      </c>
      <c r="K84" s="225">
        <v>12</v>
      </c>
      <c r="L84" s="849">
        <f t="shared" si="13"/>
        <v>2424</v>
      </c>
      <c r="M84" s="194"/>
    </row>
    <row r="85" spans="1:14" ht="14.25" customHeight="1">
      <c r="A85" s="1501"/>
      <c r="B85" s="221" t="s">
        <v>1976</v>
      </c>
      <c r="C85" s="246" t="s">
        <v>673</v>
      </c>
      <c r="D85" s="238">
        <v>7130820011</v>
      </c>
      <c r="E85" s="225" t="s">
        <v>1611</v>
      </c>
      <c r="F85" s="849">
        <f>VLOOKUP(D85,'SOR RATE'!A:D,4,0)</f>
        <v>307</v>
      </c>
      <c r="G85" s="225">
        <v>81</v>
      </c>
      <c r="H85" s="1013">
        <f t="shared" si="11"/>
        <v>24867</v>
      </c>
      <c r="I85" s="225">
        <v>81</v>
      </c>
      <c r="J85" s="849">
        <f t="shared" si="12"/>
        <v>24867</v>
      </c>
      <c r="K85" s="225">
        <v>81</v>
      </c>
      <c r="L85" s="849">
        <f t="shared" si="13"/>
        <v>24867</v>
      </c>
      <c r="M85" s="553"/>
      <c r="N85" s="159"/>
    </row>
    <row r="86" spans="1:12" ht="14.25" customHeight="1">
      <c r="A86" s="1501"/>
      <c r="B86" s="221" t="s">
        <v>1978</v>
      </c>
      <c r="C86" s="246" t="s">
        <v>166</v>
      </c>
      <c r="D86" s="238">
        <v>7130820248</v>
      </c>
      <c r="E86" s="225" t="s">
        <v>1611</v>
      </c>
      <c r="F86" s="849">
        <f>VLOOKUP(D86,'SOR RATE'!A:D,4,0)</f>
        <v>241</v>
      </c>
      <c r="G86" s="225">
        <f>27+54</f>
        <v>81</v>
      </c>
      <c r="H86" s="1013">
        <f t="shared" si="11"/>
        <v>19521</v>
      </c>
      <c r="I86" s="225">
        <f>+G86</f>
        <v>81</v>
      </c>
      <c r="J86" s="849">
        <f t="shared" si="12"/>
        <v>19521</v>
      </c>
      <c r="K86" s="225">
        <f>27+75</f>
        <v>102</v>
      </c>
      <c r="L86" s="849">
        <f t="shared" si="13"/>
        <v>24582</v>
      </c>
    </row>
    <row r="87" spans="1:13" ht="28.5">
      <c r="A87" s="1501"/>
      <c r="B87" s="221" t="s">
        <v>1980</v>
      </c>
      <c r="C87" s="922" t="s">
        <v>2170</v>
      </c>
      <c r="D87" s="224">
        <v>7130820010</v>
      </c>
      <c r="E87" s="848" t="s">
        <v>1611</v>
      </c>
      <c r="F87" s="849">
        <f>VLOOKUP(D87,'SOR RATE'!A:D,4,0)</f>
        <v>142</v>
      </c>
      <c r="G87" s="221">
        <v>108</v>
      </c>
      <c r="H87" s="1013">
        <f t="shared" si="11"/>
        <v>15336</v>
      </c>
      <c r="I87" s="221">
        <v>108</v>
      </c>
      <c r="J87" s="849">
        <f t="shared" si="12"/>
        <v>15336</v>
      </c>
      <c r="K87" s="221">
        <v>150</v>
      </c>
      <c r="L87" s="849">
        <f t="shared" si="13"/>
        <v>21300</v>
      </c>
      <c r="M87" s="125"/>
    </row>
    <row r="88" spans="1:12" ht="14.25" customHeight="1">
      <c r="A88" s="1501"/>
      <c r="B88" s="472" t="s">
        <v>1982</v>
      </c>
      <c r="C88" s="246" t="s">
        <v>167</v>
      </c>
      <c r="D88" s="238">
        <v>7130810624</v>
      </c>
      <c r="E88" s="221" t="s">
        <v>1611</v>
      </c>
      <c r="F88" s="849">
        <f>VLOOKUP(D88,'SOR RATE'!A:D,4,0)</f>
        <v>75</v>
      </c>
      <c r="G88" s="221">
        <v>198</v>
      </c>
      <c r="H88" s="1013">
        <f t="shared" si="11"/>
        <v>14850</v>
      </c>
      <c r="I88" s="221">
        <f>+G88</f>
        <v>198</v>
      </c>
      <c r="J88" s="849">
        <f t="shared" si="12"/>
        <v>14850</v>
      </c>
      <c r="K88" s="221">
        <v>246</v>
      </c>
      <c r="L88" s="849">
        <f t="shared" si="13"/>
        <v>18450</v>
      </c>
    </row>
    <row r="89" spans="1:14" ht="15.75" customHeight="1">
      <c r="A89" s="1501"/>
      <c r="B89" s="472" t="s">
        <v>1984</v>
      </c>
      <c r="C89" s="246" t="s">
        <v>1572</v>
      </c>
      <c r="D89" s="472">
        <v>7130211158</v>
      </c>
      <c r="E89" s="472" t="s">
        <v>1573</v>
      </c>
      <c r="F89" s="849">
        <f>VLOOKUP(D89,'SOR RATE'!A:D,4,0)</f>
        <v>133</v>
      </c>
      <c r="G89" s="221">
        <v>40</v>
      </c>
      <c r="H89" s="1013">
        <f t="shared" si="11"/>
        <v>5320</v>
      </c>
      <c r="I89" s="221">
        <v>40</v>
      </c>
      <c r="J89" s="849">
        <f t="shared" si="12"/>
        <v>5320</v>
      </c>
      <c r="K89" s="221">
        <v>45</v>
      </c>
      <c r="L89" s="849">
        <f t="shared" si="13"/>
        <v>5985</v>
      </c>
      <c r="M89" s="520" t="s">
        <v>1928</v>
      </c>
      <c r="N89" s="47"/>
    </row>
    <row r="90" spans="1:14" ht="15.75" customHeight="1">
      <c r="A90" s="1502"/>
      <c r="B90" s="472" t="s">
        <v>1957</v>
      </c>
      <c r="C90" s="246" t="s">
        <v>1574</v>
      </c>
      <c r="D90" s="472">
        <v>7130210809</v>
      </c>
      <c r="E90" s="472" t="s">
        <v>1573</v>
      </c>
      <c r="F90" s="849">
        <f>VLOOKUP(D90,'SOR RATE'!A:D,4,0)</f>
        <v>297</v>
      </c>
      <c r="G90" s="221">
        <v>40</v>
      </c>
      <c r="H90" s="1013">
        <f t="shared" si="11"/>
        <v>11880</v>
      </c>
      <c r="I90" s="221">
        <v>40</v>
      </c>
      <c r="J90" s="849">
        <f t="shared" si="12"/>
        <v>11880</v>
      </c>
      <c r="K90" s="221">
        <v>45</v>
      </c>
      <c r="L90" s="849">
        <f t="shared" si="13"/>
        <v>13365</v>
      </c>
      <c r="M90" s="520" t="s">
        <v>1928</v>
      </c>
      <c r="N90" s="47"/>
    </row>
    <row r="91" spans="1:12" ht="15.75">
      <c r="A91" s="878"/>
      <c r="B91" s="83"/>
      <c r="C91" s="931" t="s">
        <v>168</v>
      </c>
      <c r="D91" s="1022"/>
      <c r="E91" s="83"/>
      <c r="F91" s="874"/>
      <c r="G91" s="83"/>
      <c r="H91" s="939">
        <f>SUM(H74:H90)</f>
        <v>583231.6499999999</v>
      </c>
      <c r="I91" s="939"/>
      <c r="J91" s="939">
        <f>SUM(J74:J90)</f>
        <v>583837.6499999999</v>
      </c>
      <c r="K91" s="939"/>
      <c r="L91" s="939">
        <f>SUM(L74:L90)</f>
        <v>748680.975</v>
      </c>
    </row>
    <row r="92" spans="1:12" ht="15">
      <c r="A92" s="1500">
        <v>4</v>
      </c>
      <c r="B92" s="83"/>
      <c r="C92" s="1023" t="s">
        <v>169</v>
      </c>
      <c r="D92" s="1023"/>
      <c r="E92" s="1025"/>
      <c r="F92" s="1025"/>
      <c r="G92" s="1025"/>
      <c r="H92" s="1025"/>
      <c r="I92" s="1025"/>
      <c r="J92" s="1025"/>
      <c r="K92" s="1025"/>
      <c r="L92" s="1026"/>
    </row>
    <row r="93" spans="1:13" ht="30">
      <c r="A93" s="1501"/>
      <c r="B93" s="635" t="s">
        <v>349</v>
      </c>
      <c r="C93" s="931" t="s">
        <v>170</v>
      </c>
      <c r="D93" s="1031"/>
      <c r="E93" s="848" t="s">
        <v>1571</v>
      </c>
      <c r="F93" s="849"/>
      <c r="G93" s="848"/>
      <c r="H93" s="849"/>
      <c r="I93" s="848"/>
      <c r="J93" s="849"/>
      <c r="K93" s="848"/>
      <c r="L93" s="1032"/>
      <c r="M93" s="132"/>
    </row>
    <row r="94" spans="1:16" ht="14.25">
      <c r="A94" s="1501"/>
      <c r="B94" s="225"/>
      <c r="C94" s="246" t="s">
        <v>171</v>
      </c>
      <c r="D94" s="1031">
        <v>7130200401</v>
      </c>
      <c r="E94" s="225" t="s">
        <v>1576</v>
      </c>
      <c r="F94" s="849">
        <f>VLOOKUP(D94,'SOR RATE'!A:D,4,0)/50</f>
        <v>4.9</v>
      </c>
      <c r="G94" s="1033">
        <f>51.6*208</f>
        <v>10732.800000000001</v>
      </c>
      <c r="H94" s="1013">
        <f aca="true" t="shared" si="14" ref="H94:H100">F94*G94</f>
        <v>52590.72000000001</v>
      </c>
      <c r="I94" s="1033">
        <f>60.6*208</f>
        <v>12604.800000000001</v>
      </c>
      <c r="J94" s="849">
        <f aca="true" t="shared" si="15" ref="J94:J100">I94*F94</f>
        <v>61763.52000000001</v>
      </c>
      <c r="K94" s="1033">
        <f>67.2*208</f>
        <v>13977.6</v>
      </c>
      <c r="L94" s="849">
        <f aca="true" t="shared" si="16" ref="L94:L100">K94*F94</f>
        <v>68490.24</v>
      </c>
      <c r="M94" s="518" t="s">
        <v>2260</v>
      </c>
      <c r="N94" s="518"/>
      <c r="O94" s="518"/>
      <c r="P94" s="518"/>
    </row>
    <row r="95" spans="1:12" ht="14.25">
      <c r="A95" s="1501"/>
      <c r="B95" s="225" t="s">
        <v>1578</v>
      </c>
      <c r="C95" s="246" t="s">
        <v>172</v>
      </c>
      <c r="D95" s="987">
        <v>7130311054</v>
      </c>
      <c r="E95" s="848" t="s">
        <v>1333</v>
      </c>
      <c r="F95" s="849">
        <f>VLOOKUP(D95,'SOR RATE'!A:D,4,0)/1000</f>
        <v>114.082</v>
      </c>
      <c r="G95" s="848">
        <v>10</v>
      </c>
      <c r="H95" s="1013">
        <f t="shared" si="14"/>
        <v>1140.82</v>
      </c>
      <c r="I95" s="848">
        <v>10</v>
      </c>
      <c r="J95" s="849">
        <f t="shared" si="15"/>
        <v>1140.82</v>
      </c>
      <c r="K95" s="848">
        <v>10</v>
      </c>
      <c r="L95" s="849">
        <f t="shared" si="16"/>
        <v>1140.82</v>
      </c>
    </row>
    <row r="96" spans="1:13" ht="45" customHeight="1">
      <c r="A96" s="1501"/>
      <c r="B96" s="472" t="s">
        <v>352</v>
      </c>
      <c r="C96" s="246" t="s">
        <v>173</v>
      </c>
      <c r="D96" s="987">
        <v>7130311084</v>
      </c>
      <c r="E96" s="221" t="s">
        <v>1333</v>
      </c>
      <c r="F96" s="849">
        <f>VLOOKUP(D96,'SOR RATE'!A:D,4,0)/1000</f>
        <v>52.156</v>
      </c>
      <c r="G96" s="221">
        <v>300</v>
      </c>
      <c r="H96" s="1013">
        <f t="shared" si="14"/>
        <v>15646.8</v>
      </c>
      <c r="I96" s="221">
        <v>300</v>
      </c>
      <c r="J96" s="849">
        <f t="shared" si="15"/>
        <v>15646.8</v>
      </c>
      <c r="K96" s="221">
        <v>300</v>
      </c>
      <c r="L96" s="849">
        <f t="shared" si="16"/>
        <v>15646.8</v>
      </c>
      <c r="M96" s="161"/>
    </row>
    <row r="97" spans="1:12" ht="28.5">
      <c r="A97" s="1501"/>
      <c r="B97" s="635" t="s">
        <v>354</v>
      </c>
      <c r="C97" s="246" t="s">
        <v>174</v>
      </c>
      <c r="D97" s="987">
        <v>7131230128</v>
      </c>
      <c r="E97" s="848" t="s">
        <v>83</v>
      </c>
      <c r="F97" s="849">
        <f>VLOOKUP(D97,'SOR RATE'!A:D,4,0)</f>
        <v>1975</v>
      </c>
      <c r="G97" s="848">
        <v>4</v>
      </c>
      <c r="H97" s="1013">
        <f t="shared" si="14"/>
        <v>7900</v>
      </c>
      <c r="I97" s="848">
        <v>4</v>
      </c>
      <c r="J97" s="849">
        <f t="shared" si="15"/>
        <v>7900</v>
      </c>
      <c r="K97" s="848">
        <v>4</v>
      </c>
      <c r="L97" s="849">
        <f t="shared" si="16"/>
        <v>7900</v>
      </c>
    </row>
    <row r="98" spans="1:14" ht="28.5">
      <c r="A98" s="1501"/>
      <c r="B98" s="626" t="s">
        <v>356</v>
      </c>
      <c r="C98" s="246" t="s">
        <v>530</v>
      </c>
      <c r="D98" s="987">
        <v>7131280017</v>
      </c>
      <c r="E98" s="848" t="s">
        <v>83</v>
      </c>
      <c r="F98" s="849">
        <f>VLOOKUP(D98,'SOR RATE'!A:D,4,0)</f>
        <v>3891</v>
      </c>
      <c r="G98" s="848">
        <v>6</v>
      </c>
      <c r="H98" s="1013">
        <f t="shared" si="14"/>
        <v>23346</v>
      </c>
      <c r="I98" s="848">
        <v>6</v>
      </c>
      <c r="J98" s="849">
        <f t="shared" si="15"/>
        <v>23346</v>
      </c>
      <c r="K98" s="848">
        <v>6</v>
      </c>
      <c r="L98" s="849">
        <f t="shared" si="16"/>
        <v>23346</v>
      </c>
      <c r="M98" s="1344" t="s">
        <v>2261</v>
      </c>
      <c r="N98" s="571"/>
    </row>
    <row r="99" spans="1:14" ht="14.25">
      <c r="A99" s="1501"/>
      <c r="B99" s="626" t="s">
        <v>358</v>
      </c>
      <c r="C99" s="246" t="s">
        <v>531</v>
      </c>
      <c r="D99" s="987"/>
      <c r="E99" s="848" t="s">
        <v>83</v>
      </c>
      <c r="F99" s="849">
        <v>9706</v>
      </c>
      <c r="G99" s="848">
        <v>1</v>
      </c>
      <c r="H99" s="1013">
        <f t="shared" si="14"/>
        <v>9706</v>
      </c>
      <c r="I99" s="848">
        <v>1</v>
      </c>
      <c r="J99" s="849">
        <f t="shared" si="15"/>
        <v>9706</v>
      </c>
      <c r="K99" s="848">
        <v>1</v>
      </c>
      <c r="L99" s="849">
        <f t="shared" si="16"/>
        <v>9706</v>
      </c>
      <c r="M99" s="1344" t="s">
        <v>682</v>
      </c>
      <c r="N99" s="571"/>
    </row>
    <row r="100" spans="1:14" ht="45.75" customHeight="1">
      <c r="A100" s="1501"/>
      <c r="B100" s="626" t="s">
        <v>359</v>
      </c>
      <c r="C100" s="246" t="s">
        <v>1304</v>
      </c>
      <c r="D100" s="987"/>
      <c r="E100" s="848"/>
      <c r="F100" s="849">
        <v>6742</v>
      </c>
      <c r="G100" s="848">
        <v>1</v>
      </c>
      <c r="H100" s="1013">
        <f t="shared" si="14"/>
        <v>6742</v>
      </c>
      <c r="I100" s="848">
        <v>1</v>
      </c>
      <c r="J100" s="849">
        <f t="shared" si="15"/>
        <v>6742</v>
      </c>
      <c r="K100" s="848">
        <v>1</v>
      </c>
      <c r="L100" s="849">
        <f t="shared" si="16"/>
        <v>6742</v>
      </c>
      <c r="M100" s="1344" t="s">
        <v>683</v>
      </c>
      <c r="N100" s="571"/>
    </row>
    <row r="101" spans="1:12" ht="30">
      <c r="A101" s="1501"/>
      <c r="B101" s="1488" t="s">
        <v>362</v>
      </c>
      <c r="C101" s="931" t="s">
        <v>175</v>
      </c>
      <c r="D101" s="1031"/>
      <c r="E101" s="221" t="s">
        <v>64</v>
      </c>
      <c r="F101" s="46"/>
      <c r="G101" s="221" t="s">
        <v>64</v>
      </c>
      <c r="H101" s="222"/>
      <c r="I101" s="221" t="s">
        <v>64</v>
      </c>
      <c r="J101" s="222"/>
      <c r="K101" s="221" t="s">
        <v>64</v>
      </c>
      <c r="L101" s="1034"/>
    </row>
    <row r="102" spans="1:13" ht="29.25" customHeight="1">
      <c r="A102" s="1501"/>
      <c r="B102" s="1489"/>
      <c r="C102" s="246" t="s">
        <v>216</v>
      </c>
      <c r="D102" s="987">
        <v>7130642041</v>
      </c>
      <c r="E102" s="221" t="s">
        <v>83</v>
      </c>
      <c r="F102" s="849">
        <f>VLOOKUP(D102,'SOR RATE'!A:D,4,0)</f>
        <v>3914</v>
      </c>
      <c r="G102" s="221">
        <v>21</v>
      </c>
      <c r="H102" s="1013">
        <f aca="true" t="shared" si="17" ref="H102:H108">F102*G102</f>
        <v>82194</v>
      </c>
      <c r="I102" s="221">
        <v>21</v>
      </c>
      <c r="J102" s="849">
        <f aca="true" t="shared" si="18" ref="J102:J108">I102*F102</f>
        <v>82194</v>
      </c>
      <c r="K102" s="221">
        <v>21</v>
      </c>
      <c r="L102" s="849">
        <f aca="true" t="shared" si="19" ref="L102:L108">K102*F102</f>
        <v>82194</v>
      </c>
      <c r="M102" s="106"/>
    </row>
    <row r="103" spans="1:12" ht="57">
      <c r="A103" s="1501"/>
      <c r="B103" s="1489"/>
      <c r="C103" s="246" t="s">
        <v>217</v>
      </c>
      <c r="D103" s="987">
        <v>7130642039</v>
      </c>
      <c r="E103" s="221" t="s">
        <v>83</v>
      </c>
      <c r="F103" s="849">
        <f>VLOOKUP(D103,'SOR RATE'!A:D,4,0)</f>
        <v>770</v>
      </c>
      <c r="G103" s="221">
        <v>40</v>
      </c>
      <c r="H103" s="222">
        <f t="shared" si="17"/>
        <v>30800</v>
      </c>
      <c r="I103" s="221">
        <v>40</v>
      </c>
      <c r="J103" s="222">
        <f t="shared" si="18"/>
        <v>30800</v>
      </c>
      <c r="K103" s="221">
        <v>40</v>
      </c>
      <c r="L103" s="849">
        <f t="shared" si="19"/>
        <v>30800</v>
      </c>
    </row>
    <row r="104" spans="1:13" ht="30" customHeight="1">
      <c r="A104" s="1501"/>
      <c r="B104" s="1489"/>
      <c r="C104" s="246" t="s">
        <v>218</v>
      </c>
      <c r="D104" s="221">
        <v>7130600173</v>
      </c>
      <c r="E104" s="221" t="s">
        <v>1576</v>
      </c>
      <c r="F104" s="849">
        <f>VLOOKUP(D104,'SOR RATE'!A:D,4,0)/1000</f>
        <v>34.149</v>
      </c>
      <c r="G104" s="221">
        <f>400*2.5</f>
        <v>1000</v>
      </c>
      <c r="H104" s="1013">
        <f t="shared" si="17"/>
        <v>34149</v>
      </c>
      <c r="I104" s="221">
        <f>400*2.5</f>
        <v>1000</v>
      </c>
      <c r="J104" s="849">
        <f t="shared" si="18"/>
        <v>34149</v>
      </c>
      <c r="K104" s="221">
        <f>400*2.5</f>
        <v>1000</v>
      </c>
      <c r="L104" s="849">
        <f t="shared" si="19"/>
        <v>34149</v>
      </c>
      <c r="M104" s="515"/>
    </row>
    <row r="105" spans="1:12" ht="14.25">
      <c r="A105" s="1501"/>
      <c r="B105" s="1489"/>
      <c r="C105" s="246" t="s">
        <v>219</v>
      </c>
      <c r="D105" s="1031">
        <v>7130870043</v>
      </c>
      <c r="E105" s="225" t="s">
        <v>1576</v>
      </c>
      <c r="F105" s="849">
        <f>VLOOKUP(D105,'SOR RATE'!A:D,4,0)/1000</f>
        <v>52.969</v>
      </c>
      <c r="G105" s="221">
        <v>31</v>
      </c>
      <c r="H105" s="1013">
        <f t="shared" si="17"/>
        <v>1642.039</v>
      </c>
      <c r="I105" s="221">
        <v>31</v>
      </c>
      <c r="J105" s="849">
        <f t="shared" si="18"/>
        <v>1642.039</v>
      </c>
      <c r="K105" s="221">
        <v>31</v>
      </c>
      <c r="L105" s="849">
        <f t="shared" si="19"/>
        <v>1642.039</v>
      </c>
    </row>
    <row r="106" spans="1:12" ht="14.25">
      <c r="A106" s="1501"/>
      <c r="B106" s="1489"/>
      <c r="C106" s="246" t="s">
        <v>220</v>
      </c>
      <c r="D106" s="1031">
        <v>7130620133</v>
      </c>
      <c r="E106" s="225" t="s">
        <v>1576</v>
      </c>
      <c r="F106" s="849">
        <f>VLOOKUP(D106,'SOR RATE'!A:D,4,0)</f>
        <v>87</v>
      </c>
      <c r="G106" s="221">
        <v>25</v>
      </c>
      <c r="H106" s="1013">
        <f t="shared" si="17"/>
        <v>2175</v>
      </c>
      <c r="I106" s="221">
        <v>25</v>
      </c>
      <c r="J106" s="849">
        <f t="shared" si="18"/>
        <v>2175</v>
      </c>
      <c r="K106" s="221">
        <v>25</v>
      </c>
      <c r="L106" s="849">
        <f t="shared" si="19"/>
        <v>2175</v>
      </c>
    </row>
    <row r="107" spans="1:16" ht="14.25">
      <c r="A107" s="1501"/>
      <c r="B107" s="1489"/>
      <c r="C107" s="246" t="s">
        <v>1735</v>
      </c>
      <c r="D107" s="1031">
        <v>7130620140</v>
      </c>
      <c r="E107" s="225" t="s">
        <v>1576</v>
      </c>
      <c r="F107" s="849">
        <f>VLOOKUP(D107,'SOR RATE'!A:D,4,0)</f>
        <v>87</v>
      </c>
      <c r="G107" s="221">
        <v>10</v>
      </c>
      <c r="H107" s="1013">
        <f t="shared" si="17"/>
        <v>870</v>
      </c>
      <c r="I107" s="221">
        <v>10</v>
      </c>
      <c r="J107" s="849">
        <f t="shared" si="18"/>
        <v>870</v>
      </c>
      <c r="K107" s="221">
        <v>10</v>
      </c>
      <c r="L107" s="849">
        <f t="shared" si="19"/>
        <v>870</v>
      </c>
      <c r="M107" s="208"/>
      <c r="N107" s="208"/>
      <c r="O107" s="208"/>
      <c r="P107" s="208"/>
    </row>
    <row r="108" spans="1:12" ht="14.25">
      <c r="A108" s="1501"/>
      <c r="B108" s="1489"/>
      <c r="C108" s="246" t="s">
        <v>1736</v>
      </c>
      <c r="D108" s="1031">
        <v>7130622922</v>
      </c>
      <c r="E108" s="225" t="s">
        <v>1576</v>
      </c>
      <c r="F108" s="849">
        <f>VLOOKUP(D108,'SOR RATE'!A:D,4,0)</f>
        <v>125</v>
      </c>
      <c r="G108" s="221">
        <v>5</v>
      </c>
      <c r="H108" s="1013">
        <f t="shared" si="17"/>
        <v>625</v>
      </c>
      <c r="I108" s="221">
        <v>5</v>
      </c>
      <c r="J108" s="849">
        <f t="shared" si="18"/>
        <v>625</v>
      </c>
      <c r="K108" s="221">
        <v>5</v>
      </c>
      <c r="L108" s="849">
        <f t="shared" si="19"/>
        <v>625</v>
      </c>
    </row>
    <row r="109" spans="1:12" ht="15">
      <c r="A109" s="1501"/>
      <c r="B109" s="1489"/>
      <c r="C109" s="931" t="s">
        <v>1737</v>
      </c>
      <c r="D109" s="1031"/>
      <c r="E109" s="225" t="s">
        <v>1576</v>
      </c>
      <c r="F109" s="1013"/>
      <c r="G109" s="221">
        <v>186</v>
      </c>
      <c r="H109" s="1013"/>
      <c r="I109" s="221">
        <v>270</v>
      </c>
      <c r="J109" s="849"/>
      <c r="K109" s="221">
        <v>270</v>
      </c>
      <c r="L109" s="849"/>
    </row>
    <row r="110" spans="1:12" ht="14.25">
      <c r="A110" s="1501"/>
      <c r="B110" s="1489"/>
      <c r="C110" s="246" t="s">
        <v>1451</v>
      </c>
      <c r="D110" s="1031">
        <v>7130620609</v>
      </c>
      <c r="E110" s="225" t="s">
        <v>1576</v>
      </c>
      <c r="F110" s="849">
        <f>VLOOKUP(D110,'SOR RATE'!A:D,4,0)</f>
        <v>63</v>
      </c>
      <c r="G110" s="848">
        <v>10</v>
      </c>
      <c r="H110" s="1013">
        <f aca="true" t="shared" si="20" ref="H110:H115">F110*G110</f>
        <v>630</v>
      </c>
      <c r="I110" s="848">
        <v>15</v>
      </c>
      <c r="J110" s="849">
        <f aca="true" t="shared" si="21" ref="J110:J115">I110*F110</f>
        <v>945</v>
      </c>
      <c r="K110" s="848">
        <v>15</v>
      </c>
      <c r="L110" s="849">
        <f aca="true" t="shared" si="22" ref="L110:L115">K110*F110</f>
        <v>945</v>
      </c>
    </row>
    <row r="111" spans="1:12" ht="14.25">
      <c r="A111" s="1501"/>
      <c r="B111" s="1489"/>
      <c r="C111" s="246" t="s">
        <v>1452</v>
      </c>
      <c r="D111" s="1031">
        <v>7130620614</v>
      </c>
      <c r="E111" s="225" t="s">
        <v>1576</v>
      </c>
      <c r="F111" s="849">
        <f>VLOOKUP(D111,'SOR RATE'!A:D,4,0)</f>
        <v>62</v>
      </c>
      <c r="G111" s="848">
        <v>5</v>
      </c>
      <c r="H111" s="1013">
        <f t="shared" si="20"/>
        <v>310</v>
      </c>
      <c r="I111" s="848">
        <v>10</v>
      </c>
      <c r="J111" s="849">
        <f t="shared" si="21"/>
        <v>620</v>
      </c>
      <c r="K111" s="848">
        <v>10</v>
      </c>
      <c r="L111" s="849">
        <f t="shared" si="22"/>
        <v>620</v>
      </c>
    </row>
    <row r="112" spans="1:12" ht="14.25">
      <c r="A112" s="1501"/>
      <c r="B112" s="1489"/>
      <c r="C112" s="246" t="s">
        <v>1453</v>
      </c>
      <c r="D112" s="1031">
        <v>7130620619</v>
      </c>
      <c r="E112" s="225" t="s">
        <v>1576</v>
      </c>
      <c r="F112" s="849">
        <f>VLOOKUP(D112,'SOR RATE'!A:D,4,0)</f>
        <v>62</v>
      </c>
      <c r="G112" s="848">
        <v>15</v>
      </c>
      <c r="H112" s="1013">
        <f t="shared" si="20"/>
        <v>930</v>
      </c>
      <c r="I112" s="848">
        <v>25</v>
      </c>
      <c r="J112" s="849">
        <f t="shared" si="21"/>
        <v>1550</v>
      </c>
      <c r="K112" s="848">
        <v>25</v>
      </c>
      <c r="L112" s="849">
        <f t="shared" si="22"/>
        <v>1550</v>
      </c>
    </row>
    <row r="113" spans="1:12" ht="14.25">
      <c r="A113" s="1501"/>
      <c r="B113" s="1489"/>
      <c r="C113" s="246" t="s">
        <v>1454</v>
      </c>
      <c r="D113" s="1031">
        <v>7130620627</v>
      </c>
      <c r="E113" s="225" t="s">
        <v>1576</v>
      </c>
      <c r="F113" s="849">
        <f>VLOOKUP(D113,'SOR RATE'!A:D,4,0)</f>
        <v>61</v>
      </c>
      <c r="G113" s="848">
        <v>66</v>
      </c>
      <c r="H113" s="1013">
        <f t="shared" si="20"/>
        <v>4026</v>
      </c>
      <c r="I113" s="848">
        <v>85</v>
      </c>
      <c r="J113" s="849">
        <f t="shared" si="21"/>
        <v>5185</v>
      </c>
      <c r="K113" s="848">
        <v>85</v>
      </c>
      <c r="L113" s="849">
        <f t="shared" si="22"/>
        <v>5185</v>
      </c>
    </row>
    <row r="114" spans="1:12" ht="14.25">
      <c r="A114" s="1501"/>
      <c r="B114" s="1489"/>
      <c r="C114" s="246" t="s">
        <v>1660</v>
      </c>
      <c r="D114" s="1031">
        <v>7130620631</v>
      </c>
      <c r="E114" s="225" t="s">
        <v>1576</v>
      </c>
      <c r="F114" s="849">
        <f>VLOOKUP(D114,'SOR RATE'!A:D,4,0)</f>
        <v>61</v>
      </c>
      <c r="G114" s="848">
        <v>80</v>
      </c>
      <c r="H114" s="1013">
        <f t="shared" si="20"/>
        <v>4880</v>
      </c>
      <c r="I114" s="848">
        <v>110</v>
      </c>
      <c r="J114" s="849">
        <f t="shared" si="21"/>
        <v>6710</v>
      </c>
      <c r="K114" s="848">
        <v>110</v>
      </c>
      <c r="L114" s="849">
        <f t="shared" si="22"/>
        <v>6710</v>
      </c>
    </row>
    <row r="115" spans="1:12" ht="14.25">
      <c r="A115" s="1501"/>
      <c r="B115" s="1490"/>
      <c r="C115" s="246" t="s">
        <v>1661</v>
      </c>
      <c r="D115" s="1031">
        <v>7130620637</v>
      </c>
      <c r="E115" s="225" t="s">
        <v>1576</v>
      </c>
      <c r="F115" s="849">
        <f>VLOOKUP(D115,'SOR RATE'!A:D,4,0)</f>
        <v>61</v>
      </c>
      <c r="G115" s="848">
        <v>10</v>
      </c>
      <c r="H115" s="1013">
        <f t="shared" si="20"/>
        <v>610</v>
      </c>
      <c r="I115" s="848">
        <v>25</v>
      </c>
      <c r="J115" s="849">
        <f t="shared" si="21"/>
        <v>1525</v>
      </c>
      <c r="K115" s="848">
        <v>25</v>
      </c>
      <c r="L115" s="849">
        <f t="shared" si="22"/>
        <v>1525</v>
      </c>
    </row>
    <row r="116" spans="1:12" ht="18.75" customHeight="1">
      <c r="A116" s="1501"/>
      <c r="B116" s="1434" t="s">
        <v>363</v>
      </c>
      <c r="C116" s="956" t="s">
        <v>1662</v>
      </c>
      <c r="D116" s="1035"/>
      <c r="E116" s="1036"/>
      <c r="F116" s="1036"/>
      <c r="G116" s="1036"/>
      <c r="H116" s="1036"/>
      <c r="I116" s="1036"/>
      <c r="J116" s="1036"/>
      <c r="K116" s="1036"/>
      <c r="L116" s="1037"/>
    </row>
    <row r="117" spans="1:13" ht="18" customHeight="1">
      <c r="A117" s="1501"/>
      <c r="B117" s="1437"/>
      <c r="C117" s="246" t="s">
        <v>1663</v>
      </c>
      <c r="D117" s="1038">
        <v>7132476002</v>
      </c>
      <c r="E117" s="848" t="s">
        <v>83</v>
      </c>
      <c r="F117" s="849">
        <v>4305</v>
      </c>
      <c r="G117" s="848">
        <v>1</v>
      </c>
      <c r="H117" s="1013">
        <f>F117*G117</f>
        <v>4305</v>
      </c>
      <c r="I117" s="848">
        <v>1</v>
      </c>
      <c r="J117" s="849">
        <f>I117*F117</f>
        <v>4305</v>
      </c>
      <c r="K117" s="848">
        <v>1</v>
      </c>
      <c r="L117" s="849">
        <f>K117*F117</f>
        <v>4305</v>
      </c>
      <c r="M117" s="57"/>
    </row>
    <row r="118" spans="1:12" ht="16.5" customHeight="1">
      <c r="A118" s="1501"/>
      <c r="B118" s="1437"/>
      <c r="C118" s="246" t="s">
        <v>1664</v>
      </c>
      <c r="D118" s="1038">
        <v>7132409061</v>
      </c>
      <c r="E118" s="848" t="s">
        <v>83</v>
      </c>
      <c r="F118" s="849">
        <v>3425</v>
      </c>
      <c r="G118" s="848">
        <v>2</v>
      </c>
      <c r="H118" s="1013">
        <f>F118*G118</f>
        <v>6850</v>
      </c>
      <c r="I118" s="848">
        <v>2</v>
      </c>
      <c r="J118" s="849">
        <f>I118*F118</f>
        <v>6850</v>
      </c>
      <c r="K118" s="848">
        <v>2</v>
      </c>
      <c r="L118" s="849">
        <f>K118*F118</f>
        <v>6850</v>
      </c>
    </row>
    <row r="119" spans="1:12" ht="16.5" customHeight="1">
      <c r="A119" s="1501"/>
      <c r="B119" s="1435"/>
      <c r="C119" s="246" t="s">
        <v>1665</v>
      </c>
      <c r="D119" s="1038">
        <v>7132401672</v>
      </c>
      <c r="E119" s="848" t="s">
        <v>83</v>
      </c>
      <c r="F119" s="849">
        <v>4766</v>
      </c>
      <c r="G119" s="848">
        <v>1</v>
      </c>
      <c r="H119" s="1013">
        <f>F119*G119</f>
        <v>4766</v>
      </c>
      <c r="I119" s="848">
        <v>1</v>
      </c>
      <c r="J119" s="849">
        <f>I119*F119</f>
        <v>4766</v>
      </c>
      <c r="K119" s="848">
        <v>1</v>
      </c>
      <c r="L119" s="849">
        <f>K119*F119</f>
        <v>4766</v>
      </c>
    </row>
    <row r="120" spans="1:12" ht="15">
      <c r="A120" s="1501"/>
      <c r="B120" s="1488" t="s">
        <v>365</v>
      </c>
      <c r="C120" s="931" t="s">
        <v>1666</v>
      </c>
      <c r="D120" s="1031"/>
      <c r="E120" s="221" t="s">
        <v>64</v>
      </c>
      <c r="F120" s="222"/>
      <c r="G120" s="221"/>
      <c r="H120" s="222"/>
      <c r="I120" s="221"/>
      <c r="J120" s="222"/>
      <c r="K120" s="221"/>
      <c r="L120" s="222"/>
    </row>
    <row r="121" spans="1:12" ht="28.5">
      <c r="A121" s="1501"/>
      <c r="B121" s="1489"/>
      <c r="C121" s="246" t="s">
        <v>1667</v>
      </c>
      <c r="D121" s="987">
        <v>7132490006</v>
      </c>
      <c r="E121" s="221" t="s">
        <v>83</v>
      </c>
      <c r="F121" s="849">
        <f>VLOOKUP(D121,'SOR RATE'!A:D,4,0)</f>
        <v>4619</v>
      </c>
      <c r="G121" s="221">
        <v>2</v>
      </c>
      <c r="H121" s="1013">
        <f>F121*G121</f>
        <v>9238</v>
      </c>
      <c r="I121" s="221">
        <v>2</v>
      </c>
      <c r="J121" s="849">
        <f>I121*F121</f>
        <v>9238</v>
      </c>
      <c r="K121" s="221">
        <v>2</v>
      </c>
      <c r="L121" s="849">
        <f>K121*F121</f>
        <v>9238</v>
      </c>
    </row>
    <row r="122" spans="1:12" ht="35.25" customHeight="1">
      <c r="A122" s="1501"/>
      <c r="B122" s="1490"/>
      <c r="C122" s="246" t="s">
        <v>1668</v>
      </c>
      <c r="D122" s="987">
        <v>7132421002</v>
      </c>
      <c r="E122" s="221" t="s">
        <v>83</v>
      </c>
      <c r="F122" s="849">
        <f>VLOOKUP(D122,'SOR RATE'!A:D,4,0)</f>
        <v>5166</v>
      </c>
      <c r="G122" s="221">
        <v>2</v>
      </c>
      <c r="H122" s="1013">
        <f>F122*G122</f>
        <v>10332</v>
      </c>
      <c r="I122" s="221">
        <v>2</v>
      </c>
      <c r="J122" s="849">
        <f>I122*F122</f>
        <v>10332</v>
      </c>
      <c r="K122" s="221">
        <v>2</v>
      </c>
      <c r="L122" s="849">
        <f>K122*F122</f>
        <v>10332</v>
      </c>
    </row>
    <row r="123" spans="1:13" ht="28.5">
      <c r="A123" s="1502"/>
      <c r="B123" s="472" t="s">
        <v>1975</v>
      </c>
      <c r="C123" s="246" t="s">
        <v>203</v>
      </c>
      <c r="D123" s="987">
        <v>7132448003</v>
      </c>
      <c r="E123" s="221" t="s">
        <v>83</v>
      </c>
      <c r="F123" s="849">
        <f>VLOOKUP(D123,'SOR RATE'!A:D,4,0)</f>
        <v>3696</v>
      </c>
      <c r="G123" s="221">
        <v>3</v>
      </c>
      <c r="H123" s="1013">
        <f>F123*G123</f>
        <v>11088</v>
      </c>
      <c r="I123" s="221">
        <v>3</v>
      </c>
      <c r="J123" s="849">
        <f>I123*F123</f>
        <v>11088</v>
      </c>
      <c r="K123" s="221">
        <v>3</v>
      </c>
      <c r="L123" s="849">
        <f>K123*F123</f>
        <v>11088</v>
      </c>
      <c r="M123" s="125"/>
    </row>
    <row r="124" spans="1:12" ht="15.75">
      <c r="A124" s="878"/>
      <c r="B124" s="83"/>
      <c r="C124" s="931" t="s">
        <v>1696</v>
      </c>
      <c r="D124" s="1031"/>
      <c r="E124" s="83"/>
      <c r="F124" s="135"/>
      <c r="G124" s="135"/>
      <c r="H124" s="860">
        <f>SUM(H94:H123)</f>
        <v>327492.379</v>
      </c>
      <c r="I124" s="860"/>
      <c r="J124" s="860">
        <f>SUM(J94:J123)</f>
        <v>341814.179</v>
      </c>
      <c r="K124" s="860"/>
      <c r="L124" s="860">
        <f>SUM(L94:L123)</f>
        <v>348540.899</v>
      </c>
    </row>
    <row r="125" spans="1:17" ht="15.75">
      <c r="A125" s="1039">
        <v>5</v>
      </c>
      <c r="B125" s="225"/>
      <c r="C125" s="246" t="s">
        <v>1697</v>
      </c>
      <c r="D125" s="1031"/>
      <c r="E125" s="1040"/>
      <c r="F125" s="848"/>
      <c r="G125" s="848"/>
      <c r="H125" s="849">
        <f>H124+H91+H72+H22</f>
        <v>6078137.0940000005</v>
      </c>
      <c r="I125" s="849"/>
      <c r="J125" s="849">
        <f>J124+J91+J72+J22</f>
        <v>7629751.5940000005</v>
      </c>
      <c r="K125" s="849"/>
      <c r="L125" s="849">
        <f>L124+L91+L72+L22</f>
        <v>9125358.868999999</v>
      </c>
      <c r="M125" s="251"/>
      <c r="N125" s="251"/>
      <c r="O125" s="251"/>
      <c r="P125" s="251"/>
      <c r="Q125" s="251"/>
    </row>
    <row r="126" spans="1:17" ht="15.75">
      <c r="A126" s="1039">
        <v>6</v>
      </c>
      <c r="B126" s="225"/>
      <c r="C126" s="246" t="s">
        <v>1698</v>
      </c>
      <c r="D126" s="1031"/>
      <c r="E126" s="1040"/>
      <c r="F126" s="848"/>
      <c r="G126" s="848"/>
      <c r="H126" s="849">
        <f>H125-H22</f>
        <v>3115237.0940000005</v>
      </c>
      <c r="I126" s="849"/>
      <c r="J126" s="849">
        <f>J125-J22</f>
        <v>4666851.5940000005</v>
      </c>
      <c r="K126" s="849"/>
      <c r="L126" s="849">
        <f>L125-L22</f>
        <v>6162458.868999999</v>
      </c>
      <c r="M126" s="251"/>
      <c r="N126" s="251"/>
      <c r="O126" s="251"/>
      <c r="P126" s="251"/>
      <c r="Q126" s="251"/>
    </row>
    <row r="127" spans="1:14" ht="14.25">
      <c r="A127" s="1509">
        <v>7</v>
      </c>
      <c r="B127" s="225"/>
      <c r="C127" s="246" t="s">
        <v>1699</v>
      </c>
      <c r="D127" s="1031"/>
      <c r="E127" s="1040"/>
      <c r="F127" s="848">
        <v>0.09</v>
      </c>
      <c r="G127" s="848"/>
      <c r="H127" s="849">
        <f>0.09*H126</f>
        <v>280371.33846000006</v>
      </c>
      <c r="I127" s="848"/>
      <c r="J127" s="849">
        <f>0.09*J126</f>
        <v>420016.64346000005</v>
      </c>
      <c r="K127" s="848"/>
      <c r="L127" s="849">
        <f>0.09*L126</f>
        <v>554621.2982099999</v>
      </c>
      <c r="M127" s="271"/>
      <c r="N127" s="272"/>
    </row>
    <row r="128" spans="1:12" ht="16.5" customHeight="1">
      <c r="A128" s="1509"/>
      <c r="B128" s="225" t="s">
        <v>1700</v>
      </c>
      <c r="C128" s="246" t="s">
        <v>1701</v>
      </c>
      <c r="D128" s="1031"/>
      <c r="E128" s="225" t="s">
        <v>83</v>
      </c>
      <c r="F128" s="849">
        <f>10254.24*1.27*1.0891*1.086275*1.1112*1.0685*1.06217</f>
        <v>19430.122188554244</v>
      </c>
      <c r="G128" s="848">
        <v>1</v>
      </c>
      <c r="H128" s="1013">
        <f>F128*G128</f>
        <v>19430.122188554244</v>
      </c>
      <c r="I128" s="848">
        <v>1</v>
      </c>
      <c r="J128" s="849">
        <f>I128*F128</f>
        <v>19430.122188554244</v>
      </c>
      <c r="K128" s="848">
        <v>1</v>
      </c>
      <c r="L128" s="849">
        <f>K128*F128</f>
        <v>19430.122188554244</v>
      </c>
    </row>
    <row r="129" spans="1:12" ht="31.5" customHeight="1">
      <c r="A129" s="1509"/>
      <c r="B129" s="472" t="s">
        <v>5</v>
      </c>
      <c r="C129" s="246" t="s">
        <v>6</v>
      </c>
      <c r="D129" s="1031"/>
      <c r="E129" s="848" t="s">
        <v>1333</v>
      </c>
      <c r="F129" s="849">
        <f>1.1*800*1.27*1.0891*1.086275*1.1112*1.0685*1.06217</f>
        <v>1667.4573177463897</v>
      </c>
      <c r="G129" s="848">
        <v>70</v>
      </c>
      <c r="H129" s="1013">
        <f>F129*G129</f>
        <v>116722.01224224728</v>
      </c>
      <c r="I129" s="848">
        <v>70</v>
      </c>
      <c r="J129" s="849">
        <f>I129*F129</f>
        <v>116722.01224224728</v>
      </c>
      <c r="K129" s="848">
        <v>80</v>
      </c>
      <c r="L129" s="849">
        <f>K129*F129</f>
        <v>133396.58541971116</v>
      </c>
    </row>
    <row r="130" spans="1:12" ht="16.5" customHeight="1">
      <c r="A130" s="1509"/>
      <c r="B130" s="225" t="s">
        <v>7</v>
      </c>
      <c r="C130" s="246" t="s">
        <v>8</v>
      </c>
      <c r="D130" s="1031"/>
      <c r="E130" s="225" t="s">
        <v>83</v>
      </c>
      <c r="F130" s="849">
        <f>1.1*6000*1.27*1.0891*1.086275*1.1112*1.0685*1.06217</f>
        <v>12505.929883097924</v>
      </c>
      <c r="G130" s="848">
        <v>1</v>
      </c>
      <c r="H130" s="1013">
        <f>F130*G130</f>
        <v>12505.929883097924</v>
      </c>
      <c r="I130" s="848">
        <v>1</v>
      </c>
      <c r="J130" s="849">
        <f>I130*F130</f>
        <v>12505.929883097924</v>
      </c>
      <c r="K130" s="848">
        <v>1</v>
      </c>
      <c r="L130" s="849">
        <f>K130*F130</f>
        <v>12505.929883097924</v>
      </c>
    </row>
    <row r="131" spans="1:12" ht="16.5" customHeight="1">
      <c r="A131" s="1509"/>
      <c r="B131" s="472" t="s">
        <v>9</v>
      </c>
      <c r="C131" s="246" t="s">
        <v>10</v>
      </c>
      <c r="D131" s="1031"/>
      <c r="E131" s="472" t="s">
        <v>83</v>
      </c>
      <c r="F131" s="222">
        <f>1.1*5000*1.27*1.0891*1.086275*1.1112*1.0685*1.06217</f>
        <v>10421.608235914933</v>
      </c>
      <c r="G131" s="221">
        <v>1</v>
      </c>
      <c r="H131" s="1013">
        <f>F131*G131</f>
        <v>10421.608235914933</v>
      </c>
      <c r="I131" s="221">
        <v>1</v>
      </c>
      <c r="J131" s="849">
        <f>I131*F131</f>
        <v>10421.608235914933</v>
      </c>
      <c r="K131" s="221">
        <v>1</v>
      </c>
      <c r="L131" s="849">
        <f>K131*F131</f>
        <v>10421.608235914933</v>
      </c>
    </row>
    <row r="132" spans="1:13" ht="16.5" customHeight="1">
      <c r="A132" s="1509"/>
      <c r="B132" s="848" t="s">
        <v>11</v>
      </c>
      <c r="C132" s="246" t="s">
        <v>12</v>
      </c>
      <c r="D132" s="1031"/>
      <c r="E132" s="225" t="s">
        <v>1571</v>
      </c>
      <c r="F132" s="849">
        <f>1664*1.27*1.0891*1.086275*1.1112*1.0685*1.06217</f>
        <v>3153.010200829536</v>
      </c>
      <c r="G132" s="848">
        <v>51.6</v>
      </c>
      <c r="H132" s="1013">
        <f>F132*G132</f>
        <v>162695.32636280407</v>
      </c>
      <c r="I132" s="848">
        <v>60.6</v>
      </c>
      <c r="J132" s="849">
        <f>I132*F132</f>
        <v>191072.4181702699</v>
      </c>
      <c r="K132" s="848">
        <v>67.2</v>
      </c>
      <c r="L132" s="849">
        <f>K132*F132</f>
        <v>211882.28549574484</v>
      </c>
      <c r="M132" s="572" t="s">
        <v>684</v>
      </c>
    </row>
    <row r="133" spans="1:13" ht="19.5" customHeight="1">
      <c r="A133" s="848">
        <v>8</v>
      </c>
      <c r="B133" s="225"/>
      <c r="C133" s="847" t="s">
        <v>13</v>
      </c>
      <c r="D133" s="1031"/>
      <c r="E133" s="1040"/>
      <c r="F133" s="848"/>
      <c r="G133" s="849"/>
      <c r="H133" s="849">
        <f>113597+43570.32</f>
        <v>157167.32</v>
      </c>
      <c r="I133" s="849"/>
      <c r="J133" s="849">
        <f>115386+51790.2</f>
        <v>167176.2</v>
      </c>
      <c r="K133" s="849"/>
      <c r="L133" s="849">
        <f>130417+60285.05</f>
        <v>190702.05</v>
      </c>
      <c r="M133" s="247"/>
    </row>
    <row r="134" spans="1:12" ht="14.25">
      <c r="A134" s="225">
        <v>9</v>
      </c>
      <c r="B134" s="225"/>
      <c r="C134" s="246" t="s">
        <v>14</v>
      </c>
      <c r="D134" s="1031"/>
      <c r="E134" s="1040"/>
      <c r="F134" s="848"/>
      <c r="G134" s="849"/>
      <c r="H134" s="849">
        <f>1.1*18000*1.2*1.1*1.1797*1.1402*0.9368*0.87</f>
        <v>28652.19328691306</v>
      </c>
      <c r="I134" s="848"/>
      <c r="J134" s="849">
        <f>1.1*18000*1.2*1.1*1.1797*1.1402*0.9368*0.87</f>
        <v>28652.19328691306</v>
      </c>
      <c r="K134" s="849"/>
      <c r="L134" s="849">
        <f>1.1*20000*1.2*1.1*1.1797*1.1402*0.9368*0.87</f>
        <v>31835.77031879229</v>
      </c>
    </row>
    <row r="135" spans="1:17" ht="28.5">
      <c r="A135" s="1041">
        <v>10</v>
      </c>
      <c r="B135" s="225"/>
      <c r="C135" s="246" t="s">
        <v>1316</v>
      </c>
      <c r="D135" s="1031"/>
      <c r="E135" s="1040"/>
      <c r="F135" s="849"/>
      <c r="G135" s="849"/>
      <c r="H135" s="849">
        <f>(H126+H127+H128+H129+H130+H131+H132+H133+H134)+H22</f>
        <v>6866102.944659531</v>
      </c>
      <c r="I135" s="849"/>
      <c r="J135" s="849">
        <f>(J126+J127+J128+J129+J130+J131+J132+J133+J134)+J22</f>
        <v>8595748.721467</v>
      </c>
      <c r="K135" s="849"/>
      <c r="L135" s="849">
        <f>(L126+L127+L128+L129+L130+L131+L132+L133+L134)+L22</f>
        <v>10290154.518751815</v>
      </c>
      <c r="M135" s="251"/>
      <c r="N135" s="251"/>
      <c r="O135" s="251"/>
      <c r="P135" s="251"/>
      <c r="Q135" s="251"/>
    </row>
    <row r="136" spans="1:12" ht="15">
      <c r="A136" s="1042">
        <v>11</v>
      </c>
      <c r="B136" s="225"/>
      <c r="C136" s="246" t="s">
        <v>1688</v>
      </c>
      <c r="D136" s="1031"/>
      <c r="E136" s="1040"/>
      <c r="F136" s="848"/>
      <c r="G136" s="848"/>
      <c r="H136" s="860">
        <f>H135/100000</f>
        <v>68.66102944659531</v>
      </c>
      <c r="I136" s="860"/>
      <c r="J136" s="860">
        <f>J135/100000</f>
        <v>85.95748721467</v>
      </c>
      <c r="K136" s="860"/>
      <c r="L136" s="860">
        <f>L135/100000</f>
        <v>102.90154518751815</v>
      </c>
    </row>
    <row r="137" spans="1:13" ht="45.75" customHeight="1">
      <c r="A137" s="1041">
        <v>12</v>
      </c>
      <c r="B137" s="225"/>
      <c r="C137" s="1043" t="s">
        <v>1054</v>
      </c>
      <c r="D137" s="1031"/>
      <c r="E137" s="1040"/>
      <c r="F137" s="848">
        <v>0.11</v>
      </c>
      <c r="G137" s="848"/>
      <c r="H137" s="849">
        <f>H126*F137</f>
        <v>342676.08034000004</v>
      </c>
      <c r="I137" s="849"/>
      <c r="J137" s="849">
        <f>J126*F137</f>
        <v>513353.6753400001</v>
      </c>
      <c r="K137" s="849"/>
      <c r="L137" s="849">
        <f>L126*F137</f>
        <v>677870.4755899999</v>
      </c>
      <c r="M137" s="252"/>
    </row>
    <row r="138" spans="1:12" ht="15">
      <c r="A138" s="1042">
        <v>13</v>
      </c>
      <c r="B138" s="225"/>
      <c r="C138" s="1044" t="s">
        <v>1317</v>
      </c>
      <c r="D138" s="1031"/>
      <c r="E138" s="1040"/>
      <c r="F138" s="848"/>
      <c r="G138" s="848"/>
      <c r="H138" s="849">
        <f>H135+H137</f>
        <v>7208779.024999531</v>
      </c>
      <c r="I138" s="849"/>
      <c r="J138" s="849">
        <f>J135+J137</f>
        <v>9109102.396807</v>
      </c>
      <c r="K138" s="849"/>
      <c r="L138" s="849">
        <f>L135+L137</f>
        <v>10968024.994341815</v>
      </c>
    </row>
    <row r="139" spans="1:12" ht="15">
      <c r="A139" s="1042">
        <v>14</v>
      </c>
      <c r="B139" s="225"/>
      <c r="C139" s="246" t="s">
        <v>1318</v>
      </c>
      <c r="D139" s="1031"/>
      <c r="E139" s="1040"/>
      <c r="F139" s="848"/>
      <c r="G139" s="849"/>
      <c r="H139" s="849">
        <f>ROUND(H138,0)</f>
        <v>7208779</v>
      </c>
      <c r="I139" s="849"/>
      <c r="J139" s="849">
        <f>ROUND(J138,0)</f>
        <v>9109102</v>
      </c>
      <c r="K139" s="849"/>
      <c r="L139" s="849">
        <f>ROUND(L138,0)</f>
        <v>10968025</v>
      </c>
    </row>
    <row r="140" spans="1:12" ht="15.75">
      <c r="A140" s="1039">
        <v>15</v>
      </c>
      <c r="B140" s="83"/>
      <c r="C140" s="931" t="s">
        <v>1719</v>
      </c>
      <c r="D140" s="1022"/>
      <c r="E140" s="1045"/>
      <c r="F140" s="135"/>
      <c r="G140" s="135"/>
      <c r="H140" s="860">
        <f>H139/100000</f>
        <v>72.08779</v>
      </c>
      <c r="I140" s="135"/>
      <c r="J140" s="860">
        <f>J139/100000</f>
        <v>91.09102</v>
      </c>
      <c r="K140" s="135"/>
      <c r="L140" s="860">
        <f>L139/100000</f>
        <v>109.68025</v>
      </c>
    </row>
    <row r="141" spans="1:12" ht="15.75">
      <c r="A141" s="253" t="s">
        <v>129</v>
      </c>
      <c r="B141" s="85"/>
      <c r="C141" s="254"/>
      <c r="D141" s="255"/>
      <c r="E141" s="68"/>
      <c r="F141" s="68"/>
      <c r="G141" s="68"/>
      <c r="H141" s="68"/>
      <c r="I141" s="256"/>
      <c r="J141" s="68"/>
      <c r="K141" s="256"/>
      <c r="L141" s="256"/>
    </row>
    <row r="142" spans="1:12" ht="24.75" customHeight="1">
      <c r="A142" s="257"/>
      <c r="B142" s="551" t="s">
        <v>1319</v>
      </c>
      <c r="C142" s="1504" t="s">
        <v>130</v>
      </c>
      <c r="D142" s="1504"/>
      <c r="E142" s="1504"/>
      <c r="F142" s="1504"/>
      <c r="G142" s="1504"/>
      <c r="H142" s="1504"/>
      <c r="I142" s="1504"/>
      <c r="J142" s="1504"/>
      <c r="K142" s="1504"/>
      <c r="L142" s="1504"/>
    </row>
    <row r="143" spans="1:12" ht="66.75" customHeight="1">
      <c r="A143" s="257"/>
      <c r="B143" s="552" t="s">
        <v>1320</v>
      </c>
      <c r="C143" s="1503" t="s">
        <v>1763</v>
      </c>
      <c r="D143" s="1503"/>
      <c r="E143" s="1503"/>
      <c r="F143" s="1503"/>
      <c r="G143" s="1503"/>
      <c r="H143" s="1503"/>
      <c r="I143" s="1503"/>
      <c r="J143" s="1503"/>
      <c r="K143" s="1503"/>
      <c r="L143" s="1503"/>
    </row>
    <row r="144" spans="1:12" ht="36" customHeight="1">
      <c r="A144" s="14"/>
      <c r="B144" s="552" t="s">
        <v>1321</v>
      </c>
      <c r="C144" s="1503" t="s">
        <v>1322</v>
      </c>
      <c r="D144" s="1503"/>
      <c r="E144" s="1503"/>
      <c r="F144" s="1503"/>
      <c r="G144" s="1503"/>
      <c r="H144" s="1503"/>
      <c r="I144" s="1503"/>
      <c r="J144" s="1503"/>
      <c r="K144" s="1503"/>
      <c r="L144" s="1503"/>
    </row>
    <row r="145" spans="1:12" ht="15">
      <c r="A145" s="14"/>
      <c r="B145" s="16"/>
      <c r="C145" s="258"/>
      <c r="D145" s="259"/>
      <c r="E145" s="14"/>
      <c r="F145" s="14"/>
      <c r="G145" s="14"/>
      <c r="I145" s="14"/>
      <c r="J145" s="14"/>
      <c r="K145" s="14"/>
      <c r="L145" s="14"/>
    </row>
    <row r="146" spans="3:4" ht="15">
      <c r="C146" s="7"/>
      <c r="D146" s="260"/>
    </row>
    <row r="164" spans="3:6" ht="16.5" customHeight="1">
      <c r="C164" s="1460" t="s">
        <v>700</v>
      </c>
      <c r="D164" s="1460"/>
      <c r="E164" s="1460"/>
      <c r="F164" s="570"/>
    </row>
    <row r="176" spans="8:12" ht="14.25">
      <c r="H176" s="194"/>
      <c r="I176" s="194"/>
      <c r="J176" s="194"/>
      <c r="K176" s="194"/>
      <c r="L176" s="194"/>
    </row>
  </sheetData>
  <sheetProtection/>
  <mergeCells count="31">
    <mergeCell ref="E1:H1"/>
    <mergeCell ref="C3:J3"/>
    <mergeCell ref="B6:C9"/>
    <mergeCell ref="D6:D9"/>
    <mergeCell ref="E6:E9"/>
    <mergeCell ref="F6:F9"/>
    <mergeCell ref="B31:B34"/>
    <mergeCell ref="B35:B37"/>
    <mergeCell ref="A11:A22"/>
    <mergeCell ref="A23:A71"/>
    <mergeCell ref="B10:C10"/>
    <mergeCell ref="I6:J8"/>
    <mergeCell ref="B27:B30"/>
    <mergeCell ref="B24:B26"/>
    <mergeCell ref="K6:L8"/>
    <mergeCell ref="B50:B52"/>
    <mergeCell ref="B53:B54"/>
    <mergeCell ref="A127:A132"/>
    <mergeCell ref="A92:A123"/>
    <mergeCell ref="B120:B122"/>
    <mergeCell ref="B116:B119"/>
    <mergeCell ref="A6:A9"/>
    <mergeCell ref="B101:B115"/>
    <mergeCell ref="G6:H8"/>
    <mergeCell ref="C164:E164"/>
    <mergeCell ref="N59:O59"/>
    <mergeCell ref="M71:N71"/>
    <mergeCell ref="A73:A90"/>
    <mergeCell ref="C144:L144"/>
    <mergeCell ref="C142:L142"/>
    <mergeCell ref="C143:L143"/>
  </mergeCells>
  <printOptions/>
  <pageMargins left="0.76" right="0.17" top="0.69" bottom="0.39" header="0.5" footer="0.23"/>
  <pageSetup horizontalDpi="600" verticalDpi="600" orientation="landscape" paperSize="9" scale="90" r:id="rId2"/>
  <drawing r:id="rId1"/>
</worksheet>
</file>

<file path=xl/worksheets/sheet18.xml><?xml version="1.0" encoding="utf-8"?>
<worksheet xmlns="http://schemas.openxmlformats.org/spreadsheetml/2006/main" xmlns:r="http://schemas.openxmlformats.org/officeDocument/2006/relationships">
  <sheetPr>
    <tabColor indexed="15"/>
  </sheetPr>
  <dimension ref="A1:O41"/>
  <sheetViews>
    <sheetView zoomScaleSheetLayoutView="85" zoomScalePageLayoutView="0" workbookViewId="0" topLeftCell="A1">
      <pane xSplit="1" ySplit="9" topLeftCell="D10" activePane="bottomRight" state="frozen"/>
      <selection pane="topLeft" activeCell="A1" sqref="A1"/>
      <selection pane="topRight" activeCell="B1" sqref="B1"/>
      <selection pane="bottomLeft" activeCell="A11" sqref="A11"/>
      <selection pane="bottomRight" activeCell="K31" sqref="K31"/>
    </sheetView>
  </sheetViews>
  <sheetFormatPr defaultColWidth="9.140625" defaultRowHeight="12.75"/>
  <cols>
    <col min="1" max="1" width="6.00390625" style="2" customWidth="1"/>
    <col min="2" max="2" width="41.421875" style="2" customWidth="1"/>
    <col min="3" max="3" width="14.140625" style="18" customWidth="1"/>
    <col min="4" max="4" width="5.28125" style="18" customWidth="1"/>
    <col min="5" max="5" width="11.8515625" style="18" bestFit="1" customWidth="1"/>
    <col min="6" max="6" width="5.140625" style="18" bestFit="1" customWidth="1"/>
    <col min="7" max="9" width="11.8515625" style="2" bestFit="1" customWidth="1"/>
    <col min="10" max="10" width="15.140625" style="2" customWidth="1"/>
    <col min="11" max="16384" width="9.140625" style="2" customWidth="1"/>
  </cols>
  <sheetData>
    <row r="1" spans="2:9" ht="18">
      <c r="B1" s="126"/>
      <c r="C1" s="1486" t="s">
        <v>820</v>
      </c>
      <c r="D1" s="1486"/>
      <c r="E1" s="1486"/>
      <c r="F1" s="1486"/>
      <c r="G1" s="1486"/>
      <c r="H1" s="126"/>
      <c r="I1" s="126"/>
    </row>
    <row r="2" ht="15">
      <c r="I2" s="430" t="s">
        <v>244</v>
      </c>
    </row>
    <row r="3" spans="2:9" ht="15">
      <c r="B3" s="262"/>
      <c r="C3" s="1523" t="s">
        <v>1729</v>
      </c>
      <c r="D3" s="1523"/>
      <c r="E3" s="1523"/>
      <c r="F3" s="1523"/>
      <c r="G3" s="263"/>
      <c r="H3" s="262"/>
      <c r="I3" s="262"/>
    </row>
    <row r="4" spans="1:9" ht="9.75" customHeight="1">
      <c r="A4" s="84"/>
      <c r="B4" s="84"/>
      <c r="C4" s="264"/>
      <c r="D4" s="264"/>
      <c r="E4" s="264"/>
      <c r="F4" s="264"/>
      <c r="G4" s="84"/>
      <c r="H4" s="84"/>
      <c r="I4" s="84"/>
    </row>
    <row r="5" spans="2:9" ht="15">
      <c r="B5" s="265"/>
      <c r="C5" s="1523" t="s">
        <v>1730</v>
      </c>
      <c r="D5" s="1523"/>
      <c r="E5" s="1523"/>
      <c r="F5" s="1523"/>
      <c r="G5" s="1523"/>
      <c r="H5" s="265"/>
      <c r="I5" s="265"/>
    </row>
    <row r="6" spans="1:9" ht="12.75">
      <c r="A6" s="266"/>
      <c r="B6" s="266"/>
      <c r="C6" s="267"/>
      <c r="D6" s="267"/>
      <c r="E6" s="267"/>
      <c r="F6" s="267"/>
      <c r="G6" s="266"/>
      <c r="H6" s="266"/>
      <c r="I6" s="266"/>
    </row>
    <row r="7" spans="1:9" ht="15" customHeight="1">
      <c r="A7" s="1495" t="s">
        <v>2104</v>
      </c>
      <c r="B7" s="1495" t="s">
        <v>79</v>
      </c>
      <c r="C7" s="1482" t="s">
        <v>88</v>
      </c>
      <c r="D7" s="1478" t="s">
        <v>80</v>
      </c>
      <c r="E7" s="1478" t="s">
        <v>1326</v>
      </c>
      <c r="F7" s="1478" t="s">
        <v>82</v>
      </c>
      <c r="G7" s="1495" t="s">
        <v>821</v>
      </c>
      <c r="H7" s="1495" t="s">
        <v>822</v>
      </c>
      <c r="I7" s="1495" t="s">
        <v>823</v>
      </c>
    </row>
    <row r="8" spans="1:9" ht="15" customHeight="1">
      <c r="A8" s="1496"/>
      <c r="B8" s="1496"/>
      <c r="C8" s="1482"/>
      <c r="D8" s="1478"/>
      <c r="E8" s="1478"/>
      <c r="F8" s="1478"/>
      <c r="G8" s="1496"/>
      <c r="H8" s="1496"/>
      <c r="I8" s="1496"/>
    </row>
    <row r="9" spans="1:9" ht="15">
      <c r="A9" s="83">
        <v>1</v>
      </c>
      <c r="B9" s="168">
        <v>2</v>
      </c>
      <c r="C9" s="83">
        <v>3</v>
      </c>
      <c r="D9" s="83">
        <v>4</v>
      </c>
      <c r="E9" s="83">
        <v>5</v>
      </c>
      <c r="F9" s="83">
        <v>6</v>
      </c>
      <c r="G9" s="83">
        <v>7</v>
      </c>
      <c r="H9" s="83">
        <v>8</v>
      </c>
      <c r="I9" s="83">
        <v>9</v>
      </c>
    </row>
    <row r="10" spans="1:9" ht="18" customHeight="1">
      <c r="A10" s="1524">
        <v>1</v>
      </c>
      <c r="B10" s="1046" t="s">
        <v>824</v>
      </c>
      <c r="C10" s="1047"/>
      <c r="D10" s="1047"/>
      <c r="E10" s="1047"/>
      <c r="F10" s="1047"/>
      <c r="G10" s="1047"/>
      <c r="H10" s="1047"/>
      <c r="I10" s="1047"/>
    </row>
    <row r="11" spans="1:12" ht="18" customHeight="1">
      <c r="A11" s="1525"/>
      <c r="B11" s="1046" t="s">
        <v>825</v>
      </c>
      <c r="C11" s="1048">
        <v>7132220091</v>
      </c>
      <c r="D11" s="1049" t="s">
        <v>83</v>
      </c>
      <c r="E11" s="1050">
        <f>VLOOKUP(C11,'SOR RATE'!A:D,4,0)</f>
        <v>809678</v>
      </c>
      <c r="F11" s="1048">
        <v>1</v>
      </c>
      <c r="G11" s="1050">
        <f>E11*F11</f>
        <v>809678</v>
      </c>
      <c r="H11" s="1050"/>
      <c r="I11" s="1050"/>
      <c r="J11" s="268"/>
      <c r="K11" s="269"/>
      <c r="L11" s="269"/>
    </row>
    <row r="12" spans="1:12" ht="18" customHeight="1">
      <c r="A12" s="1525"/>
      <c r="B12" s="1046" t="s">
        <v>826</v>
      </c>
      <c r="C12" s="1048">
        <v>7132220095</v>
      </c>
      <c r="D12" s="1049" t="s">
        <v>83</v>
      </c>
      <c r="E12" s="1050">
        <f>VLOOKUP(C12,'SOR RATE'!A:D,4,0)</f>
        <v>2033847</v>
      </c>
      <c r="F12" s="1048">
        <v>1</v>
      </c>
      <c r="G12" s="1050"/>
      <c r="H12" s="1050">
        <f>E12*F12</f>
        <v>2033847</v>
      </c>
      <c r="I12" s="1050"/>
      <c r="J12" s="270"/>
      <c r="K12" s="270"/>
      <c r="L12" s="270"/>
    </row>
    <row r="13" spans="1:12" ht="18" customHeight="1">
      <c r="A13" s="1526"/>
      <c r="B13" s="1046" t="s">
        <v>827</v>
      </c>
      <c r="C13" s="1048">
        <v>7132220097</v>
      </c>
      <c r="D13" s="1049" t="s">
        <v>83</v>
      </c>
      <c r="E13" s="1050">
        <f>VLOOKUP(C13,'SOR RATE'!A:D,4,0)</f>
        <v>2898351</v>
      </c>
      <c r="F13" s="1048">
        <v>1</v>
      </c>
      <c r="G13" s="1050"/>
      <c r="H13" s="1050"/>
      <c r="I13" s="1050">
        <f>E13*F13</f>
        <v>2898351</v>
      </c>
      <c r="J13" s="270"/>
      <c r="K13" s="270"/>
      <c r="L13" s="270"/>
    </row>
    <row r="14" spans="1:12" ht="13.5">
      <c r="A14" s="1051">
        <v>2</v>
      </c>
      <c r="B14" s="1052" t="s">
        <v>1052</v>
      </c>
      <c r="C14" s="1053"/>
      <c r="D14" s="1053"/>
      <c r="E14" s="1053"/>
      <c r="F14" s="1053"/>
      <c r="G14" s="1054">
        <f>SUM(G11:G13)</f>
        <v>809678</v>
      </c>
      <c r="H14" s="1054">
        <f>SUM(H11:H13)</f>
        <v>2033847</v>
      </c>
      <c r="I14" s="1054">
        <f>SUM(I11:I13)</f>
        <v>2898351</v>
      </c>
      <c r="J14" s="271"/>
      <c r="K14" s="272"/>
      <c r="L14" s="270"/>
    </row>
    <row r="15" spans="1:12" ht="15.75" customHeight="1">
      <c r="A15" s="1049">
        <v>3</v>
      </c>
      <c r="B15" s="1055" t="s">
        <v>1051</v>
      </c>
      <c r="C15" s="1056"/>
      <c r="D15" s="1056"/>
      <c r="E15" s="1050">
        <v>0.09</v>
      </c>
      <c r="F15" s="1057"/>
      <c r="G15" s="1050">
        <f>G14*E15</f>
        <v>72871.02</v>
      </c>
      <c r="H15" s="1050">
        <f>H14*E15</f>
        <v>183046.22999999998</v>
      </c>
      <c r="I15" s="1050">
        <f>I14*E15</f>
        <v>260851.59</v>
      </c>
      <c r="J15" s="271"/>
      <c r="K15" s="272"/>
      <c r="L15" s="270"/>
    </row>
    <row r="16" spans="1:12" ht="14.25" customHeight="1">
      <c r="A16" s="1058">
        <v>4</v>
      </c>
      <c r="B16" s="1059" t="s">
        <v>828</v>
      </c>
      <c r="C16" s="1048"/>
      <c r="D16" s="1060"/>
      <c r="E16" s="1048"/>
      <c r="F16" s="1060"/>
      <c r="G16" s="1050">
        <f>1.1*2500*1.0891*1.086275*1.1112*1.0685*1.06217</f>
        <v>4102.995368470447</v>
      </c>
      <c r="H16" s="1050">
        <f>1.1*4000*1.0891*1.086275*1.1112*1.0685*1.06217</f>
        <v>6564.792589552714</v>
      </c>
      <c r="I16" s="1061">
        <f>1.1*4000*1.0891*1.086275*1.1112*1.0685*1.06217</f>
        <v>6564.792589552714</v>
      </c>
      <c r="J16" s="270"/>
      <c r="K16" s="270"/>
      <c r="L16" s="270"/>
    </row>
    <row r="17" spans="1:12" ht="16.5" customHeight="1">
      <c r="A17" s="1049">
        <v>5</v>
      </c>
      <c r="B17" s="1062" t="s">
        <v>829</v>
      </c>
      <c r="C17" s="1048"/>
      <c r="D17" s="1048"/>
      <c r="E17" s="1048"/>
      <c r="F17" s="1048"/>
      <c r="G17" s="1050">
        <v>43570.32</v>
      </c>
      <c r="H17" s="1063">
        <v>51790.2</v>
      </c>
      <c r="I17" s="1050">
        <v>60285.05</v>
      </c>
      <c r="J17" s="270"/>
      <c r="K17" s="197"/>
      <c r="L17" s="270"/>
    </row>
    <row r="18" spans="1:12" ht="41.25" customHeight="1">
      <c r="A18" s="1049">
        <v>6</v>
      </c>
      <c r="B18" s="1064" t="s">
        <v>830</v>
      </c>
      <c r="C18" s="1048"/>
      <c r="D18" s="1048"/>
      <c r="E18" s="1048"/>
      <c r="F18" s="1048"/>
      <c r="G18" s="1050">
        <f>1.1*1.1*1693*1.2*1.1*1.1797*1.1402*0.9368*0.87</f>
        <v>2964.387753234344</v>
      </c>
      <c r="H18" s="1050">
        <f>1.1*1.1*4880*1.2*1.1*1.1797*1.1402*0.9368*0.87</f>
        <v>8544.720753563852</v>
      </c>
      <c r="I18" s="1050">
        <f>1.1*1.1*7613*1.2*1.1*1.1797*1.1402*0.9368*0.87</f>
        <v>13330.11456903311</v>
      </c>
      <c r="J18" s="270"/>
      <c r="K18" s="273"/>
      <c r="L18" s="270"/>
    </row>
    <row r="19" spans="1:12" ht="13.5">
      <c r="A19" s="1065">
        <v>7</v>
      </c>
      <c r="B19" s="1052" t="s">
        <v>1053</v>
      </c>
      <c r="C19" s="1048"/>
      <c r="D19" s="1048"/>
      <c r="E19" s="1048"/>
      <c r="F19" s="1048"/>
      <c r="G19" s="1066">
        <f>G14+G15+G16+G17+G18</f>
        <v>933186.7231217048</v>
      </c>
      <c r="H19" s="1066">
        <f>H14+H15+H16+H17+H18</f>
        <v>2283792.943343117</v>
      </c>
      <c r="I19" s="1066">
        <f>I14+I15+I16+I17+I18</f>
        <v>3239382.5471585854</v>
      </c>
      <c r="J19" s="252"/>
      <c r="K19" s="274"/>
      <c r="L19" s="270"/>
    </row>
    <row r="20" spans="1:12" ht="46.5" customHeight="1">
      <c r="A20" s="1049">
        <v>8</v>
      </c>
      <c r="B20" s="1055" t="s">
        <v>1054</v>
      </c>
      <c r="C20" s="1048"/>
      <c r="D20" s="1048"/>
      <c r="E20" s="1048">
        <v>0.11</v>
      </c>
      <c r="F20" s="1048"/>
      <c r="G20" s="1050">
        <f>G14*E20</f>
        <v>89064.58</v>
      </c>
      <c r="H20" s="1050">
        <f>H14*E20</f>
        <v>223723.17</v>
      </c>
      <c r="I20" s="1050">
        <f>I14*E20</f>
        <v>318818.61</v>
      </c>
      <c r="J20" s="252"/>
      <c r="K20" s="274"/>
      <c r="L20" s="270"/>
    </row>
    <row r="21" spans="1:9" ht="18" customHeight="1">
      <c r="A21" s="1049">
        <v>9</v>
      </c>
      <c r="B21" s="1059" t="s">
        <v>831</v>
      </c>
      <c r="C21" s="1067"/>
      <c r="D21" s="1068"/>
      <c r="E21" s="1068"/>
      <c r="F21" s="1068"/>
      <c r="G21" s="1050">
        <f>G19+G20</f>
        <v>1022251.3031217047</v>
      </c>
      <c r="H21" s="1050">
        <f>H19+H20</f>
        <v>2507516.113343117</v>
      </c>
      <c r="I21" s="1050">
        <f>I19+I20</f>
        <v>3558201.1571585853</v>
      </c>
    </row>
    <row r="22" spans="1:9" ht="18" customHeight="1">
      <c r="A22" s="1069">
        <v>10</v>
      </c>
      <c r="B22" s="1003" t="s">
        <v>832</v>
      </c>
      <c r="C22" s="1005"/>
      <c r="D22" s="1070"/>
      <c r="E22" s="1070"/>
      <c r="F22" s="1070"/>
      <c r="G22" s="1071">
        <f>ROUND(G21,0)</f>
        <v>1022251</v>
      </c>
      <c r="H22" s="1071">
        <f>ROUND(H21,0)</f>
        <v>2507516</v>
      </c>
      <c r="I22" s="1071">
        <f>ROUND(I21,0)</f>
        <v>3558201</v>
      </c>
    </row>
    <row r="23" spans="1:9" ht="12" customHeight="1">
      <c r="A23" s="275"/>
      <c r="B23" s="155"/>
      <c r="C23" s="155"/>
      <c r="D23" s="155"/>
      <c r="E23" s="155"/>
      <c r="F23" s="155"/>
      <c r="G23" s="276"/>
      <c r="H23" s="276"/>
      <c r="I23" s="276"/>
    </row>
    <row r="24" spans="1:12" ht="18.75" customHeight="1">
      <c r="A24" s="277" t="s">
        <v>129</v>
      </c>
      <c r="B24" s="1527" t="s">
        <v>901</v>
      </c>
      <c r="C24" s="1528"/>
      <c r="D24" s="1528"/>
      <c r="E24" s="1528"/>
      <c r="F24" s="278"/>
      <c r="G24" s="279"/>
      <c r="H24" s="241"/>
      <c r="I24" s="280"/>
      <c r="K24" s="281"/>
      <c r="L24" s="281"/>
    </row>
    <row r="25" spans="3:14" ht="12.75" customHeight="1">
      <c r="C25" s="282"/>
      <c r="D25" s="282"/>
      <c r="E25" s="282"/>
      <c r="F25" s="282"/>
      <c r="G25" s="56"/>
      <c r="H25" s="56"/>
      <c r="I25" s="56"/>
      <c r="J25" s="56"/>
      <c r="K25" s="56"/>
      <c r="L25" s="56"/>
      <c r="M25" s="56"/>
      <c r="N25" s="56"/>
    </row>
    <row r="26" spans="1:15" ht="12.75">
      <c r="A26" s="283"/>
      <c r="B26" s="56"/>
      <c r="C26" s="56"/>
      <c r="D26" s="56"/>
      <c r="E26" s="56"/>
      <c r="F26" s="56"/>
      <c r="G26" s="56"/>
      <c r="H26" s="56"/>
      <c r="I26" s="56"/>
      <c r="J26" s="56"/>
      <c r="K26" s="56"/>
      <c r="L26" s="56"/>
      <c r="M26" s="56"/>
      <c r="N26" s="56"/>
      <c r="O26" s="56"/>
    </row>
    <row r="41" spans="1:9" ht="9.75" customHeight="1">
      <c r="A41" s="285"/>
      <c r="B41" s="285"/>
      <c r="C41" s="285"/>
      <c r="D41" s="285"/>
      <c r="E41" s="285"/>
      <c r="F41" s="285"/>
      <c r="G41" s="285"/>
      <c r="H41" s="285"/>
      <c r="I41" s="285"/>
    </row>
  </sheetData>
  <sheetProtection/>
  <mergeCells count="14">
    <mergeCell ref="H7:H8"/>
    <mergeCell ref="I7:I8"/>
    <mergeCell ref="A10:A13"/>
    <mergeCell ref="B24:E24"/>
    <mergeCell ref="C1:G1"/>
    <mergeCell ref="C3:F3"/>
    <mergeCell ref="C5:G5"/>
    <mergeCell ref="A7:A8"/>
    <mergeCell ref="B7:B8"/>
    <mergeCell ref="C7:C8"/>
    <mergeCell ref="D7:D8"/>
    <mergeCell ref="E7:E8"/>
    <mergeCell ref="F7:F8"/>
    <mergeCell ref="G7:G8"/>
  </mergeCells>
  <printOptions horizontalCentered="1"/>
  <pageMargins left="0.82" right="0.15748031496063" top="0.8" bottom="0.590551181102362" header="0.511811023622047" footer="0.31496062992126"/>
  <pageSetup horizontalDpi="300" verticalDpi="300" orientation="landscape" paperSize="9" scale="112" r:id="rId1"/>
</worksheet>
</file>

<file path=xl/worksheets/sheet19.xml><?xml version="1.0" encoding="utf-8"?>
<worksheet xmlns="http://schemas.openxmlformats.org/spreadsheetml/2006/main" xmlns:r="http://schemas.openxmlformats.org/officeDocument/2006/relationships">
  <sheetPr>
    <tabColor indexed="15"/>
  </sheetPr>
  <dimension ref="A1:R155"/>
  <sheetViews>
    <sheetView zoomScalePageLayoutView="0" workbookViewId="0" topLeftCell="A1">
      <pane xSplit="5" ySplit="8" topLeftCell="F111" activePane="bottomRight" state="frozen"/>
      <selection pane="topLeft" activeCell="A1" sqref="A1"/>
      <selection pane="topRight" activeCell="F1" sqref="F1"/>
      <selection pane="bottomLeft" activeCell="A9" sqref="A9"/>
      <selection pane="bottomRight" activeCell="L61" sqref="L61"/>
    </sheetView>
  </sheetViews>
  <sheetFormatPr defaultColWidth="9.140625" defaultRowHeight="12.75"/>
  <cols>
    <col min="1" max="1" width="6.28125" style="2" customWidth="1"/>
    <col min="2" max="2" width="5.28125" style="2" customWidth="1"/>
    <col min="3" max="3" width="44.57421875" style="2" customWidth="1"/>
    <col min="4" max="4" width="12.140625" style="2" customWidth="1"/>
    <col min="5" max="5" width="5.140625" style="2" customWidth="1"/>
    <col min="6" max="6" width="12.140625" style="2" bestFit="1" customWidth="1"/>
    <col min="7" max="7" width="7.57421875" style="2" customWidth="1"/>
    <col min="8" max="10" width="14.28125" style="2" bestFit="1" customWidth="1"/>
    <col min="11" max="11" width="57.7109375" style="2" customWidth="1"/>
    <col min="12" max="12" width="40.57421875" style="2" customWidth="1"/>
    <col min="13" max="13" width="17.8515625" style="2" customWidth="1"/>
    <col min="14" max="16384" width="9.140625" style="2" customWidth="1"/>
  </cols>
  <sheetData>
    <row r="1" spans="1:13" ht="18">
      <c r="A1" s="149"/>
      <c r="B1" s="149"/>
      <c r="C1" s="149"/>
      <c r="D1" s="1400" t="s">
        <v>902</v>
      </c>
      <c r="E1" s="1552"/>
      <c r="F1" s="1552"/>
      <c r="G1" s="1552"/>
      <c r="H1" s="286"/>
      <c r="I1" s="286"/>
      <c r="J1" s="286"/>
      <c r="K1" s="286"/>
      <c r="L1" s="149"/>
      <c r="M1" s="149"/>
    </row>
    <row r="2" spans="1:13" ht="15" customHeight="1">
      <c r="A2" s="149"/>
      <c r="B2" s="149"/>
      <c r="C2" s="149"/>
      <c r="D2" s="1553" t="s">
        <v>903</v>
      </c>
      <c r="E2" s="1553"/>
      <c r="F2" s="1553"/>
      <c r="G2" s="1553"/>
      <c r="H2" s="287"/>
      <c r="I2" s="1554" t="s">
        <v>244</v>
      </c>
      <c r="J2" s="1554"/>
      <c r="K2" s="430"/>
      <c r="L2" s="149"/>
      <c r="M2" s="149"/>
    </row>
    <row r="3" spans="1:13" ht="35.25" customHeight="1">
      <c r="A3" s="145"/>
      <c r="B3" s="288"/>
      <c r="C3" s="1433" t="s">
        <v>904</v>
      </c>
      <c r="D3" s="1433"/>
      <c r="E3" s="1433"/>
      <c r="F3" s="1433"/>
      <c r="G3" s="1433"/>
      <c r="H3" s="1433"/>
      <c r="I3" s="286"/>
      <c r="J3" s="286"/>
      <c r="K3" s="286"/>
      <c r="L3" s="149"/>
      <c r="M3" s="149"/>
    </row>
    <row r="4" spans="1:13" ht="39.75" customHeight="1">
      <c r="A4" s="526"/>
      <c r="B4" s="526"/>
      <c r="C4" s="526"/>
      <c r="D4" s="526"/>
      <c r="E4" s="526"/>
      <c r="F4" s="526"/>
      <c r="G4" s="526"/>
      <c r="H4" s="526"/>
      <c r="I4" s="526"/>
      <c r="J4" s="526"/>
      <c r="K4" s="149"/>
      <c r="L4" s="149"/>
      <c r="M4" s="149"/>
    </row>
    <row r="5" spans="1:13" ht="12.75">
      <c r="A5" s="1548" t="s">
        <v>2104</v>
      </c>
      <c r="B5" s="1548" t="s">
        <v>844</v>
      </c>
      <c r="C5" s="1549" t="s">
        <v>79</v>
      </c>
      <c r="D5" s="1550" t="s">
        <v>88</v>
      </c>
      <c r="E5" s="1548" t="s">
        <v>80</v>
      </c>
      <c r="F5" s="1548" t="s">
        <v>1326</v>
      </c>
      <c r="G5" s="1548" t="s">
        <v>82</v>
      </c>
      <c r="H5" s="1548" t="s">
        <v>905</v>
      </c>
      <c r="I5" s="1548"/>
      <c r="J5" s="1548"/>
      <c r="K5" s="527" t="s">
        <v>1926</v>
      </c>
      <c r="L5" s="149"/>
      <c r="M5" s="149"/>
    </row>
    <row r="6" spans="1:13" ht="12.75">
      <c r="A6" s="1548"/>
      <c r="B6" s="1548"/>
      <c r="C6" s="1549"/>
      <c r="D6" s="1551"/>
      <c r="E6" s="1548"/>
      <c r="F6" s="1548"/>
      <c r="G6" s="1548"/>
      <c r="H6" s="244" t="s">
        <v>906</v>
      </c>
      <c r="I6" s="244" t="s">
        <v>907</v>
      </c>
      <c r="J6" s="244" t="s">
        <v>908</v>
      </c>
      <c r="K6" s="527"/>
      <c r="L6" s="149"/>
      <c r="M6" s="149"/>
    </row>
    <row r="7" spans="1:13" ht="12.75">
      <c r="A7" s="245">
        <v>1</v>
      </c>
      <c r="B7" s="1545">
        <v>2</v>
      </c>
      <c r="C7" s="1546"/>
      <c r="D7" s="245">
        <v>3</v>
      </c>
      <c r="E7" s="245">
        <v>4</v>
      </c>
      <c r="F7" s="245">
        <v>5</v>
      </c>
      <c r="G7" s="245">
        <v>6</v>
      </c>
      <c r="H7" s="245">
        <v>7</v>
      </c>
      <c r="I7" s="245">
        <v>8</v>
      </c>
      <c r="J7" s="245">
        <v>9</v>
      </c>
      <c r="K7" s="528"/>
      <c r="L7" s="149"/>
      <c r="M7" s="149"/>
    </row>
    <row r="8" spans="1:13" ht="12.75">
      <c r="A8" s="1529">
        <v>1</v>
      </c>
      <c r="B8" s="1073"/>
      <c r="C8" s="1074" t="s">
        <v>368</v>
      </c>
      <c r="D8" s="1075"/>
      <c r="E8" s="1075"/>
      <c r="F8" s="1075"/>
      <c r="G8" s="1075"/>
      <c r="H8" s="1075"/>
      <c r="I8" s="1075"/>
      <c r="J8" s="1076"/>
      <c r="K8" s="529"/>
      <c r="L8" s="149"/>
      <c r="M8" s="149"/>
    </row>
    <row r="9" spans="1:13" ht="12.75">
      <c r="A9" s="1530"/>
      <c r="B9" s="1547" t="s">
        <v>71</v>
      </c>
      <c r="C9" s="1079" t="s">
        <v>909</v>
      </c>
      <c r="D9" s="1080"/>
      <c r="E9" s="1081"/>
      <c r="F9" s="1081"/>
      <c r="G9" s="1081"/>
      <c r="H9" s="1081"/>
      <c r="I9" s="1081"/>
      <c r="J9" s="1082"/>
      <c r="K9" s="530"/>
      <c r="L9" s="149"/>
      <c r="M9" s="149"/>
    </row>
    <row r="10" spans="1:13" ht="12.75">
      <c r="A10" s="1530"/>
      <c r="B10" s="1547"/>
      <c r="C10" s="1083" t="s">
        <v>910</v>
      </c>
      <c r="D10" s="1084">
        <v>7132220091</v>
      </c>
      <c r="E10" s="242" t="s">
        <v>83</v>
      </c>
      <c r="F10" s="1085">
        <f>VLOOKUP(D10,'SOR RATE'!A:D,4,0)</f>
        <v>809678</v>
      </c>
      <c r="G10" s="242">
        <v>1</v>
      </c>
      <c r="H10" s="1085">
        <f>F10*G10</f>
        <v>809678</v>
      </c>
      <c r="I10" s="1085"/>
      <c r="J10" s="1085"/>
      <c r="K10" s="531"/>
      <c r="L10" s="149"/>
      <c r="M10" s="149"/>
    </row>
    <row r="11" spans="1:13" ht="12.75">
      <c r="A11" s="1530"/>
      <c r="B11" s="1547"/>
      <c r="C11" s="1083" t="s">
        <v>911</v>
      </c>
      <c r="D11" s="1084">
        <v>7132220095</v>
      </c>
      <c r="E11" s="242" t="s">
        <v>83</v>
      </c>
      <c r="F11" s="1085">
        <f>VLOOKUP(D11,'SOR RATE'!A:D,4,0)</f>
        <v>2033847</v>
      </c>
      <c r="G11" s="242">
        <v>1</v>
      </c>
      <c r="H11" s="1085"/>
      <c r="I11" s="1085">
        <f>F11*G11</f>
        <v>2033847</v>
      </c>
      <c r="J11" s="1085"/>
      <c r="K11" s="531"/>
      <c r="L11" s="149"/>
      <c r="M11" s="149"/>
    </row>
    <row r="12" spans="1:13" ht="12.75">
      <c r="A12" s="1530"/>
      <c r="B12" s="1547"/>
      <c r="C12" s="1083" t="s">
        <v>912</v>
      </c>
      <c r="D12" s="1084">
        <v>7132220097</v>
      </c>
      <c r="E12" s="242" t="s">
        <v>83</v>
      </c>
      <c r="F12" s="1085">
        <f>VLOOKUP(D12,'SOR RATE'!A:D,4,0)</f>
        <v>2898351</v>
      </c>
      <c r="G12" s="242">
        <v>1</v>
      </c>
      <c r="H12" s="1085"/>
      <c r="I12" s="1085"/>
      <c r="J12" s="1085">
        <f>F12*G12</f>
        <v>2898351</v>
      </c>
      <c r="K12" s="531"/>
      <c r="L12" s="149"/>
      <c r="M12" s="149"/>
    </row>
    <row r="13" spans="1:13" ht="12.75">
      <c r="A13" s="1530"/>
      <c r="B13" s="1547" t="s">
        <v>1578</v>
      </c>
      <c r="C13" s="1086" t="s">
        <v>913</v>
      </c>
      <c r="D13" s="1084"/>
      <c r="E13" s="242" t="s">
        <v>83</v>
      </c>
      <c r="F13" s="1087">
        <f>I14+I15+I16</f>
        <v>310394</v>
      </c>
      <c r="G13" s="242"/>
      <c r="H13" s="1085"/>
      <c r="I13" s="1085"/>
      <c r="J13" s="1085"/>
      <c r="K13" s="531"/>
      <c r="L13" s="149"/>
      <c r="M13" s="149"/>
    </row>
    <row r="14" spans="1:11" ht="12.75">
      <c r="A14" s="1530"/>
      <c r="B14" s="1547"/>
      <c r="C14" s="974" t="s">
        <v>914</v>
      </c>
      <c r="D14" s="1084">
        <v>7131943380</v>
      </c>
      <c r="E14" s="242" t="s">
        <v>83</v>
      </c>
      <c r="F14" s="1085">
        <f>VLOOKUP(D14,'SOR RATE'!A:D,4,0)</f>
        <v>223902</v>
      </c>
      <c r="G14" s="242">
        <v>1</v>
      </c>
      <c r="H14" s="1085"/>
      <c r="I14" s="1085">
        <f>+F14</f>
        <v>223902</v>
      </c>
      <c r="J14" s="1085">
        <f>+I14</f>
        <v>223902</v>
      </c>
      <c r="K14" s="175"/>
    </row>
    <row r="15" spans="1:12" ht="14.25">
      <c r="A15" s="1530"/>
      <c r="B15" s="1547"/>
      <c r="C15" s="974" t="s">
        <v>915</v>
      </c>
      <c r="D15" s="1084">
        <v>7131960524</v>
      </c>
      <c r="E15" s="242" t="s">
        <v>83</v>
      </c>
      <c r="F15" s="1085">
        <f>VLOOKUP(D15,'SOR RATE'!A:D,4,0)</f>
        <v>39815</v>
      </c>
      <c r="G15" s="242">
        <v>1</v>
      </c>
      <c r="H15" s="1085"/>
      <c r="I15" s="1085">
        <f>+F15</f>
        <v>39815</v>
      </c>
      <c r="J15" s="1085">
        <f>+I15</f>
        <v>39815</v>
      </c>
      <c r="K15" s="175"/>
      <c r="L15" s="371"/>
    </row>
    <row r="16" spans="1:11" ht="12.75">
      <c r="A16" s="1530"/>
      <c r="B16" s="1547"/>
      <c r="C16" s="974" t="s">
        <v>916</v>
      </c>
      <c r="D16" s="1084">
        <v>7132230265</v>
      </c>
      <c r="E16" s="242" t="s">
        <v>83</v>
      </c>
      <c r="F16" s="1085">
        <f>VLOOKUP(D16,'SOR RATE'!A:D,4,0)</f>
        <v>15559</v>
      </c>
      <c r="G16" s="242">
        <v>3</v>
      </c>
      <c r="H16" s="1085"/>
      <c r="I16" s="1085">
        <f>G16*F16</f>
        <v>46677</v>
      </c>
      <c r="J16" s="1085">
        <f>+I16</f>
        <v>46677</v>
      </c>
      <c r="K16" s="175"/>
    </row>
    <row r="17" spans="1:11" ht="15" customHeight="1">
      <c r="A17" s="1530"/>
      <c r="B17" s="1547" t="s">
        <v>352</v>
      </c>
      <c r="C17" s="1088" t="s">
        <v>917</v>
      </c>
      <c r="D17" s="1089"/>
      <c r="E17" s="239" t="s">
        <v>83</v>
      </c>
      <c r="F17" s="973">
        <f>H18+H19+H20</f>
        <v>176059</v>
      </c>
      <c r="G17" s="239">
        <v>1</v>
      </c>
      <c r="H17" s="240"/>
      <c r="I17" s="1085"/>
      <c r="J17" s="1085"/>
      <c r="K17" s="175"/>
    </row>
    <row r="18" spans="1:11" ht="12.75">
      <c r="A18" s="1530"/>
      <c r="B18" s="1547"/>
      <c r="C18" s="974" t="s">
        <v>918</v>
      </c>
      <c r="D18" s="1084">
        <v>7131941762</v>
      </c>
      <c r="E18" s="239" t="s">
        <v>1611</v>
      </c>
      <c r="F18" s="1085">
        <f>VLOOKUP(D18,'SOR RATE'!A:D,4,0)</f>
        <v>108176</v>
      </c>
      <c r="G18" s="242">
        <v>1</v>
      </c>
      <c r="H18" s="1085">
        <f>G18*F18</f>
        <v>108176</v>
      </c>
      <c r="I18" s="1085">
        <f aca="true" t="shared" si="0" ref="I18:J20">+H18</f>
        <v>108176</v>
      </c>
      <c r="J18" s="1085">
        <f t="shared" si="0"/>
        <v>108176</v>
      </c>
      <c r="K18" s="175"/>
    </row>
    <row r="19" spans="1:12" ht="12.75">
      <c r="A19" s="1530"/>
      <c r="B19" s="1547"/>
      <c r="C19" s="974" t="s">
        <v>919</v>
      </c>
      <c r="D19" s="1084">
        <v>7131960522</v>
      </c>
      <c r="E19" s="239" t="s">
        <v>1611</v>
      </c>
      <c r="F19" s="1085">
        <f>VLOOKUP(D19,'SOR RATE'!A:D,4,0)</f>
        <v>39815</v>
      </c>
      <c r="G19" s="242">
        <v>1</v>
      </c>
      <c r="H19" s="1085">
        <f>G19*F19</f>
        <v>39815</v>
      </c>
      <c r="I19" s="1085">
        <f t="shared" si="0"/>
        <v>39815</v>
      </c>
      <c r="J19" s="1085">
        <f t="shared" si="0"/>
        <v>39815</v>
      </c>
      <c r="K19" s="175"/>
      <c r="L19" s="105"/>
    </row>
    <row r="20" spans="1:11" ht="12.75">
      <c r="A20" s="1530"/>
      <c r="B20" s="1547"/>
      <c r="C20" s="974" t="s">
        <v>920</v>
      </c>
      <c r="D20" s="1084">
        <v>7132230188</v>
      </c>
      <c r="E20" s="239" t="s">
        <v>1611</v>
      </c>
      <c r="F20" s="1085">
        <f>VLOOKUP(D20,'SOR RATE'!A:D,4,0)</f>
        <v>9356</v>
      </c>
      <c r="G20" s="242">
        <v>3</v>
      </c>
      <c r="H20" s="1085">
        <f>G20*F20</f>
        <v>28068</v>
      </c>
      <c r="I20" s="1085">
        <f t="shared" si="0"/>
        <v>28068</v>
      </c>
      <c r="J20" s="1085">
        <f t="shared" si="0"/>
        <v>28068</v>
      </c>
      <c r="K20" s="175"/>
    </row>
    <row r="21" spans="1:11" ht="15.75" customHeight="1">
      <c r="A21" s="1530"/>
      <c r="B21" s="1547" t="s">
        <v>354</v>
      </c>
      <c r="C21" s="1088" t="s">
        <v>921</v>
      </c>
      <c r="D21" s="1089"/>
      <c r="E21" s="239" t="s">
        <v>83</v>
      </c>
      <c r="F21" s="973">
        <f>H22+H23+H24</f>
        <v>162575</v>
      </c>
      <c r="G21" s="239">
        <v>1</v>
      </c>
      <c r="H21" s="1085"/>
      <c r="I21" s="1085"/>
      <c r="J21" s="1085"/>
      <c r="K21" s="175"/>
    </row>
    <row r="22" spans="1:11" ht="12.75">
      <c r="A22" s="1530"/>
      <c r="B22" s="1547"/>
      <c r="C22" s="974" t="s">
        <v>918</v>
      </c>
      <c r="D22" s="1084">
        <v>7131941762</v>
      </c>
      <c r="E22" s="239" t="s">
        <v>83</v>
      </c>
      <c r="F22" s="1085">
        <f>VLOOKUP(D22,'SOR RATE'!A:D,4,0)</f>
        <v>108176</v>
      </c>
      <c r="G22" s="242">
        <v>1</v>
      </c>
      <c r="H22" s="1085">
        <f aca="true" t="shared" si="1" ref="H22:H29">G22*F22</f>
        <v>108176</v>
      </c>
      <c r="I22" s="1085">
        <f>G22*F22</f>
        <v>108176</v>
      </c>
      <c r="J22" s="1085">
        <f>G22*F22</f>
        <v>108176</v>
      </c>
      <c r="K22" s="175"/>
    </row>
    <row r="23" spans="1:12" ht="12.75">
      <c r="A23" s="1530"/>
      <c r="B23" s="1547"/>
      <c r="C23" s="974" t="s">
        <v>1002</v>
      </c>
      <c r="D23" s="1084">
        <v>7131960008</v>
      </c>
      <c r="E23" s="239" t="s">
        <v>1611</v>
      </c>
      <c r="F23" s="1085">
        <f>VLOOKUP(D23,'SOR RATE'!A:D,4,0)</f>
        <v>26331</v>
      </c>
      <c r="G23" s="242">
        <v>1</v>
      </c>
      <c r="H23" s="1085">
        <f t="shared" si="1"/>
        <v>26331</v>
      </c>
      <c r="I23" s="1085">
        <f>G23*F23</f>
        <v>26331</v>
      </c>
      <c r="J23" s="1085">
        <f>G23*F23</f>
        <v>26331</v>
      </c>
      <c r="K23" s="175"/>
      <c r="L23" s="105"/>
    </row>
    <row r="24" spans="1:11" ht="12.75">
      <c r="A24" s="1530"/>
      <c r="B24" s="1547"/>
      <c r="C24" s="900" t="s">
        <v>378</v>
      </c>
      <c r="D24" s="1084">
        <v>7132230185</v>
      </c>
      <c r="E24" s="239" t="s">
        <v>83</v>
      </c>
      <c r="F24" s="1085">
        <f>VLOOKUP(D24,'SOR RATE'!A:D,4,0)</f>
        <v>9356</v>
      </c>
      <c r="G24" s="242">
        <v>3</v>
      </c>
      <c r="H24" s="1085">
        <f t="shared" si="1"/>
        <v>28068</v>
      </c>
      <c r="I24" s="1085">
        <f>F24*G24</f>
        <v>28068</v>
      </c>
      <c r="J24" s="1085">
        <f>F24*G24</f>
        <v>28068</v>
      </c>
      <c r="K24" s="175"/>
    </row>
    <row r="25" spans="1:11" ht="12.75">
      <c r="A25" s="1530"/>
      <c r="B25" s="1090" t="s">
        <v>356</v>
      </c>
      <c r="C25" s="974" t="s">
        <v>379</v>
      </c>
      <c r="D25" s="1084">
        <v>7131930415</v>
      </c>
      <c r="E25" s="239" t="s">
        <v>1611</v>
      </c>
      <c r="F25" s="1085">
        <f>VLOOKUP(D25,'SOR RATE'!A:D,4,0)</f>
        <v>2918</v>
      </c>
      <c r="G25" s="242">
        <v>3</v>
      </c>
      <c r="H25" s="1085">
        <f t="shared" si="1"/>
        <v>8754</v>
      </c>
      <c r="I25" s="1085"/>
      <c r="J25" s="1085"/>
      <c r="K25" s="175"/>
    </row>
    <row r="26" spans="1:11" ht="12.75">
      <c r="A26" s="1530"/>
      <c r="B26" s="1091" t="s">
        <v>358</v>
      </c>
      <c r="C26" s="901" t="s">
        <v>380</v>
      </c>
      <c r="D26" s="1089">
        <v>7131930752</v>
      </c>
      <c r="E26" s="239" t="s">
        <v>83</v>
      </c>
      <c r="F26" s="1085">
        <f>VLOOKUP(D26,'SOR RATE'!A:D,4,0)</f>
        <v>35641</v>
      </c>
      <c r="G26" s="239">
        <v>2</v>
      </c>
      <c r="H26" s="240">
        <f t="shared" si="1"/>
        <v>71282</v>
      </c>
      <c r="I26" s="240">
        <f>G26*F26</f>
        <v>71282</v>
      </c>
      <c r="J26" s="240">
        <f>G26*F26</f>
        <v>71282</v>
      </c>
      <c r="K26" s="532"/>
    </row>
    <row r="27" spans="1:11" ht="12.75">
      <c r="A27" s="1530"/>
      <c r="B27" s="1090" t="s">
        <v>359</v>
      </c>
      <c r="C27" s="974" t="s">
        <v>1870</v>
      </c>
      <c r="D27" s="1084">
        <v>7131930663</v>
      </c>
      <c r="E27" s="242" t="s">
        <v>83</v>
      </c>
      <c r="F27" s="1085">
        <f>VLOOKUP(D27,'SOR RATE'!A:D,4,0)</f>
        <v>20595</v>
      </c>
      <c r="G27" s="242">
        <v>5</v>
      </c>
      <c r="H27" s="1085">
        <f t="shared" si="1"/>
        <v>102975</v>
      </c>
      <c r="I27" s="1085">
        <f>G27*F27</f>
        <v>102975</v>
      </c>
      <c r="J27" s="1085">
        <f>G27*F27</f>
        <v>102975</v>
      </c>
      <c r="K27" s="175"/>
    </row>
    <row r="28" spans="1:11" ht="12.75">
      <c r="A28" s="1530"/>
      <c r="B28" s="1090" t="s">
        <v>362</v>
      </c>
      <c r="C28" s="974" t="s">
        <v>1650</v>
      </c>
      <c r="D28" s="1084">
        <v>7130840021</v>
      </c>
      <c r="E28" s="242" t="s">
        <v>1611</v>
      </c>
      <c r="F28" s="1085">
        <f>VLOOKUP(D28,'SOR RATE'!A:D,4,0)</f>
        <v>3551</v>
      </c>
      <c r="G28" s="242">
        <v>3</v>
      </c>
      <c r="H28" s="1085">
        <f t="shared" si="1"/>
        <v>10653</v>
      </c>
      <c r="I28" s="1085">
        <f>G28*F28</f>
        <v>10653</v>
      </c>
      <c r="J28" s="1085">
        <f>G28*F28</f>
        <v>10653</v>
      </c>
      <c r="K28" s="175"/>
    </row>
    <row r="29" spans="1:11" ht="12.75">
      <c r="A29" s="1530"/>
      <c r="B29" s="1090" t="s">
        <v>363</v>
      </c>
      <c r="C29" s="974" t="s">
        <v>1651</v>
      </c>
      <c r="D29" s="1084">
        <v>7130840029</v>
      </c>
      <c r="E29" s="242" t="s">
        <v>1611</v>
      </c>
      <c r="F29" s="1085">
        <f>VLOOKUP(D29,'SOR RATE'!A:D,4,0)</f>
        <v>517</v>
      </c>
      <c r="G29" s="242">
        <v>9</v>
      </c>
      <c r="H29" s="1085">
        <f t="shared" si="1"/>
        <v>4653</v>
      </c>
      <c r="I29" s="1085">
        <f>G29*F29</f>
        <v>4653</v>
      </c>
      <c r="J29" s="1085">
        <f>G29*F29</f>
        <v>4653</v>
      </c>
      <c r="K29" s="175"/>
    </row>
    <row r="30" spans="1:18" ht="12.75">
      <c r="A30" s="1530"/>
      <c r="B30" s="1090" t="s">
        <v>365</v>
      </c>
      <c r="C30" s="1092" t="s">
        <v>1871</v>
      </c>
      <c r="D30" s="1084"/>
      <c r="E30" s="242" t="s">
        <v>83</v>
      </c>
      <c r="F30" s="1087">
        <f>+H31</f>
        <v>13736</v>
      </c>
      <c r="G30" s="242"/>
      <c r="H30" s="1085"/>
      <c r="I30" s="1085"/>
      <c r="J30" s="1085"/>
      <c r="K30" s="175"/>
      <c r="M30" s="514"/>
      <c r="N30" s="514"/>
      <c r="O30" s="514"/>
      <c r="P30" s="514"/>
      <c r="Q30" s="514"/>
      <c r="R30" s="145"/>
    </row>
    <row r="31" spans="1:11" ht="15.75" customHeight="1">
      <c r="A31" s="1530"/>
      <c r="B31" s="1090"/>
      <c r="C31" s="971" t="s">
        <v>1963</v>
      </c>
      <c r="D31" s="1093">
        <v>7131310033</v>
      </c>
      <c r="E31" s="239" t="s">
        <v>83</v>
      </c>
      <c r="F31" s="240">
        <f>VLOOKUP(D31,'SOR RATE'!A:D,4,0)</f>
        <v>3434</v>
      </c>
      <c r="G31" s="239">
        <v>4</v>
      </c>
      <c r="H31" s="240">
        <f aca="true" t="shared" si="2" ref="H31:H38">G31*F31</f>
        <v>13736</v>
      </c>
      <c r="I31" s="240">
        <f aca="true" t="shared" si="3" ref="I31:I38">G31*F31</f>
        <v>13736</v>
      </c>
      <c r="J31" s="240">
        <f aca="true" t="shared" si="4" ref="J31:J38">G31*F31</f>
        <v>13736</v>
      </c>
      <c r="K31" s="532"/>
    </row>
    <row r="32" spans="1:12" ht="12.75">
      <c r="A32" s="1530"/>
      <c r="B32" s="1090" t="s">
        <v>1975</v>
      </c>
      <c r="C32" s="974" t="s">
        <v>1291</v>
      </c>
      <c r="D32" s="1084">
        <v>7132230057</v>
      </c>
      <c r="E32" s="242" t="s">
        <v>1611</v>
      </c>
      <c r="F32" s="1085">
        <f>VLOOKUP(D32,'SOR RATE'!A:D,4,0)</f>
        <v>16904</v>
      </c>
      <c r="G32" s="242">
        <v>3</v>
      </c>
      <c r="H32" s="1085">
        <f t="shared" si="2"/>
        <v>50712</v>
      </c>
      <c r="I32" s="1085">
        <f t="shared" si="3"/>
        <v>50712</v>
      </c>
      <c r="J32" s="1085">
        <f t="shared" si="4"/>
        <v>50712</v>
      </c>
      <c r="K32" s="175"/>
      <c r="L32" s="518" t="s">
        <v>677</v>
      </c>
    </row>
    <row r="33" spans="1:12" ht="12.75">
      <c r="A33" s="1530"/>
      <c r="B33" s="1078" t="s">
        <v>1976</v>
      </c>
      <c r="C33" s="1002" t="s">
        <v>1292</v>
      </c>
      <c r="D33" s="1094">
        <v>7132230056</v>
      </c>
      <c r="E33" s="1000" t="s">
        <v>1611</v>
      </c>
      <c r="F33" s="1095">
        <f>VLOOKUP(D33,'SOR RATE'!A:D,4,0)</f>
        <v>9356</v>
      </c>
      <c r="G33" s="1000">
        <v>3</v>
      </c>
      <c r="H33" s="1095">
        <f t="shared" si="2"/>
        <v>28068</v>
      </c>
      <c r="I33" s="1095">
        <f t="shared" si="3"/>
        <v>28068</v>
      </c>
      <c r="J33" s="1095">
        <f t="shared" si="4"/>
        <v>28068</v>
      </c>
      <c r="K33" s="573" t="s">
        <v>685</v>
      </c>
      <c r="L33" s="518" t="s">
        <v>676</v>
      </c>
    </row>
    <row r="34" spans="1:13" ht="15">
      <c r="A34" s="1530"/>
      <c r="B34" s="1078" t="s">
        <v>1978</v>
      </c>
      <c r="C34" s="236" t="s">
        <v>1981</v>
      </c>
      <c r="D34" s="1094">
        <v>7132230427</v>
      </c>
      <c r="E34" s="1000" t="s">
        <v>1611</v>
      </c>
      <c r="F34" s="1095">
        <f>VLOOKUP(D34,'SOR RATE'!A:D,4,0)</f>
        <v>67142</v>
      </c>
      <c r="G34" s="1000">
        <v>1</v>
      </c>
      <c r="H34" s="1095">
        <f t="shared" si="2"/>
        <v>67142</v>
      </c>
      <c r="I34" s="1095">
        <f t="shared" si="3"/>
        <v>67142</v>
      </c>
      <c r="J34" s="1095">
        <f t="shared" si="4"/>
        <v>67142</v>
      </c>
      <c r="K34" s="175"/>
      <c r="M34" s="290"/>
    </row>
    <row r="35" spans="1:13" ht="15">
      <c r="A35" s="1530"/>
      <c r="B35" s="1078" t="s">
        <v>1980</v>
      </c>
      <c r="C35" s="236" t="s">
        <v>1983</v>
      </c>
      <c r="D35" s="1096">
        <v>7132230412</v>
      </c>
      <c r="E35" s="1000" t="s">
        <v>1611</v>
      </c>
      <c r="F35" s="1095">
        <f>VLOOKUP(D35,'SOR RATE'!A:D,4,0)</f>
        <v>31171</v>
      </c>
      <c r="G35" s="1000">
        <v>2</v>
      </c>
      <c r="H35" s="1095">
        <f t="shared" si="2"/>
        <v>62342</v>
      </c>
      <c r="I35" s="1095">
        <f t="shared" si="3"/>
        <v>62342</v>
      </c>
      <c r="J35" s="1095">
        <f t="shared" si="4"/>
        <v>62342</v>
      </c>
      <c r="K35" s="175"/>
      <c r="M35" s="290"/>
    </row>
    <row r="36" spans="1:11" ht="12.75">
      <c r="A36" s="1530"/>
      <c r="B36" s="1078" t="s">
        <v>1982</v>
      </c>
      <c r="C36" s="1002" t="s">
        <v>1872</v>
      </c>
      <c r="D36" s="1094">
        <v>7131930321</v>
      </c>
      <c r="E36" s="1000" t="s">
        <v>1611</v>
      </c>
      <c r="F36" s="1095">
        <f>VLOOKUP(D36,'SOR RATE'!A:D,4,0)</f>
        <v>20846</v>
      </c>
      <c r="G36" s="1000">
        <v>1</v>
      </c>
      <c r="H36" s="1095">
        <f t="shared" si="2"/>
        <v>20846</v>
      </c>
      <c r="I36" s="1095">
        <f t="shared" si="3"/>
        <v>20846</v>
      </c>
      <c r="J36" s="1095">
        <f t="shared" si="4"/>
        <v>20846</v>
      </c>
      <c r="K36" s="175"/>
    </row>
    <row r="37" spans="1:11" ht="12.75">
      <c r="A37" s="1530"/>
      <c r="B37" s="1078" t="s">
        <v>1984</v>
      </c>
      <c r="C37" s="1002" t="s">
        <v>1927</v>
      </c>
      <c r="D37" s="1094">
        <v>7131930221</v>
      </c>
      <c r="E37" s="1000" t="s">
        <v>1611</v>
      </c>
      <c r="F37" s="1095">
        <f>VLOOKUP(D37,'SOR RATE'!A:D,4,0)</f>
        <v>8675</v>
      </c>
      <c r="G37" s="1000">
        <v>2</v>
      </c>
      <c r="H37" s="1095">
        <f t="shared" si="2"/>
        <v>17350</v>
      </c>
      <c r="I37" s="1095">
        <f t="shared" si="3"/>
        <v>17350</v>
      </c>
      <c r="J37" s="1095">
        <f t="shared" si="4"/>
        <v>17350</v>
      </c>
      <c r="K37" s="573" t="s">
        <v>1928</v>
      </c>
    </row>
    <row r="38" spans="1:12" ht="14.25">
      <c r="A38" s="1531"/>
      <c r="B38" s="1078" t="s">
        <v>1957</v>
      </c>
      <c r="C38" s="236" t="s">
        <v>1775</v>
      </c>
      <c r="D38" s="1094">
        <v>7130352046</v>
      </c>
      <c r="E38" s="851" t="s">
        <v>1331</v>
      </c>
      <c r="F38" s="1095">
        <f>VLOOKUP(D38,'SOR RATE'!A:D,4,0)</f>
        <v>3115</v>
      </c>
      <c r="G38" s="1000">
        <v>5</v>
      </c>
      <c r="H38" s="1095">
        <f t="shared" si="2"/>
        <v>15575</v>
      </c>
      <c r="I38" s="1095">
        <f t="shared" si="3"/>
        <v>15575</v>
      </c>
      <c r="J38" s="1095">
        <f t="shared" si="4"/>
        <v>15575</v>
      </c>
      <c r="K38" s="573" t="s">
        <v>783</v>
      </c>
      <c r="L38" s="372"/>
    </row>
    <row r="39" spans="1:11" ht="12.75">
      <c r="A39" s="1536">
        <v>2</v>
      </c>
      <c r="B39" s="1073"/>
      <c r="C39" s="1097" t="s">
        <v>1873</v>
      </c>
      <c r="D39" s="1080"/>
      <c r="E39" s="1081"/>
      <c r="F39" s="1081"/>
      <c r="G39" s="1081"/>
      <c r="H39" s="1081"/>
      <c r="I39" s="1081"/>
      <c r="J39" s="1082"/>
      <c r="K39" s="530"/>
    </row>
    <row r="40" spans="1:12" ht="51">
      <c r="A40" s="1537"/>
      <c r="B40" s="1098" t="s">
        <v>1700</v>
      </c>
      <c r="C40" s="1099" t="s">
        <v>1874</v>
      </c>
      <c r="D40" s="1100">
        <v>7130601958</v>
      </c>
      <c r="E40" s="1100" t="s">
        <v>1576</v>
      </c>
      <c r="F40" s="240">
        <f>VLOOKUP(D40,'SOR RATE'!A:D,4,0)/1000</f>
        <v>32.575</v>
      </c>
      <c r="G40" s="240">
        <v>1038.8</v>
      </c>
      <c r="H40" s="1101">
        <f>G40*F40</f>
        <v>33838.91</v>
      </c>
      <c r="I40" s="240">
        <f>G40*F40</f>
        <v>33838.91</v>
      </c>
      <c r="J40" s="240">
        <f>G40*F40</f>
        <v>33838.91</v>
      </c>
      <c r="K40" s="532"/>
      <c r="L40" s="189"/>
    </row>
    <row r="41" spans="1:12" ht="27.75" customHeight="1">
      <c r="A41" s="1537"/>
      <c r="B41" s="1539" t="s">
        <v>5</v>
      </c>
      <c r="C41" s="1102" t="s">
        <v>1875</v>
      </c>
      <c r="D41" s="1103"/>
      <c r="E41" s="243" t="s">
        <v>1330</v>
      </c>
      <c r="F41" s="906">
        <f>H42+H43</f>
        <v>94590.72</v>
      </c>
      <c r="G41" s="243">
        <v>1</v>
      </c>
      <c r="H41" s="1101"/>
      <c r="I41" s="240"/>
      <c r="J41" s="240"/>
      <c r="K41" s="532"/>
      <c r="L41" s="145"/>
    </row>
    <row r="42" spans="1:12" ht="27.75" customHeight="1">
      <c r="A42" s="1537"/>
      <c r="B42" s="1540"/>
      <c r="C42" s="1104" t="s">
        <v>802</v>
      </c>
      <c r="D42" s="1100">
        <v>7130601958</v>
      </c>
      <c r="E42" s="243" t="s">
        <v>1576</v>
      </c>
      <c r="F42" s="240">
        <f>VLOOKUP(D42,'SOR RATE'!A:D,4,0)/1000</f>
        <v>32.575</v>
      </c>
      <c r="G42" s="907">
        <v>1187.2</v>
      </c>
      <c r="H42" s="1101">
        <f>G42*F42</f>
        <v>38673.04000000001</v>
      </c>
      <c r="I42" s="240">
        <f>G42*F42</f>
        <v>38673.04000000001</v>
      </c>
      <c r="J42" s="240">
        <f>G42*F42</f>
        <v>38673.04000000001</v>
      </c>
      <c r="K42" s="532"/>
      <c r="L42" s="145"/>
    </row>
    <row r="43" spans="1:12" ht="15.75" customHeight="1">
      <c r="A43" s="1537"/>
      <c r="B43" s="1541"/>
      <c r="C43" s="1099" t="s">
        <v>803</v>
      </c>
      <c r="D43" s="1100">
        <v>7130810684</v>
      </c>
      <c r="E43" s="243" t="s">
        <v>83</v>
      </c>
      <c r="F43" s="240">
        <f>VLOOKUP(D43,'SOR RATE'!A:D,4,0)</f>
        <v>6989.71</v>
      </c>
      <c r="G43" s="243">
        <v>8</v>
      </c>
      <c r="H43" s="1101">
        <f>G43*F43</f>
        <v>55917.68</v>
      </c>
      <c r="I43" s="240">
        <f>G43*F43</f>
        <v>55917.68</v>
      </c>
      <c r="J43" s="240">
        <f>G43*F43</f>
        <v>55917.68</v>
      </c>
      <c r="K43" s="532"/>
      <c r="L43" s="145"/>
    </row>
    <row r="44" spans="1:13" ht="40.5" customHeight="1">
      <c r="A44" s="1537"/>
      <c r="B44" s="1539" t="s">
        <v>7</v>
      </c>
      <c r="C44" s="1102" t="s">
        <v>2171</v>
      </c>
      <c r="D44" s="1100"/>
      <c r="E44" s="243" t="s">
        <v>1330</v>
      </c>
      <c r="F44" s="906">
        <f>H45+H48</f>
        <v>122549.56000000001</v>
      </c>
      <c r="G44" s="243">
        <v>1</v>
      </c>
      <c r="H44" s="1101"/>
      <c r="I44" s="240"/>
      <c r="J44" s="240"/>
      <c r="K44" s="532"/>
      <c r="L44" s="291"/>
      <c r="M44" s="291"/>
    </row>
    <row r="45" spans="1:13" ht="25.5">
      <c r="A45" s="1537"/>
      <c r="B45" s="1540"/>
      <c r="C45" s="1099" t="s">
        <v>2172</v>
      </c>
      <c r="D45" s="1100">
        <v>7130601958</v>
      </c>
      <c r="E45" s="243" t="s">
        <v>1576</v>
      </c>
      <c r="F45" s="240">
        <f>VLOOKUP(D45,'SOR RATE'!A:D,4,0)/1000</f>
        <v>32.575</v>
      </c>
      <c r="G45" s="907">
        <v>1187.2</v>
      </c>
      <c r="H45" s="1101">
        <f aca="true" t="shared" si="5" ref="H45:H55">G45*F45</f>
        <v>38673.04000000001</v>
      </c>
      <c r="I45" s="240">
        <f aca="true" t="shared" si="6" ref="I45:I55">G45*F45</f>
        <v>38673.04000000001</v>
      </c>
      <c r="J45" s="240">
        <f aca="true" t="shared" si="7" ref="J45:J55">G45*F45</f>
        <v>38673.04000000001</v>
      </c>
      <c r="K45" s="532"/>
      <c r="L45" s="291"/>
      <c r="M45" s="291"/>
    </row>
    <row r="46" spans="1:13" ht="25.5">
      <c r="A46" s="1537"/>
      <c r="B46" s="1540"/>
      <c r="C46" s="1104" t="s">
        <v>2173</v>
      </c>
      <c r="D46" s="1100">
        <v>7130601958</v>
      </c>
      <c r="E46" s="243" t="s">
        <v>1576</v>
      </c>
      <c r="F46" s="240">
        <f>VLOOKUP(D46,'SOR RATE'!A:D,4,0)/1000</f>
        <v>32.575</v>
      </c>
      <c r="G46" s="907">
        <v>1632.4</v>
      </c>
      <c r="H46" s="1101">
        <f t="shared" si="5"/>
        <v>53175.43000000001</v>
      </c>
      <c r="I46" s="240">
        <f t="shared" si="6"/>
        <v>53175.43000000001</v>
      </c>
      <c r="J46" s="240">
        <f t="shared" si="7"/>
        <v>53175.43000000001</v>
      </c>
      <c r="K46" s="532"/>
      <c r="L46" s="145"/>
      <c r="M46" s="145"/>
    </row>
    <row r="47" spans="1:13" ht="12.75">
      <c r="A47" s="1537"/>
      <c r="B47" s="1540"/>
      <c r="C47" s="1106" t="s">
        <v>1929</v>
      </c>
      <c r="D47" s="1107">
        <v>7130600675</v>
      </c>
      <c r="E47" s="1108" t="s">
        <v>1576</v>
      </c>
      <c r="F47" s="240">
        <f>VLOOKUP(D47,'SOR RATE'!A:D,4,0)/1000</f>
        <v>32.575</v>
      </c>
      <c r="G47" s="237">
        <v>273</v>
      </c>
      <c r="H47" s="1101">
        <f t="shared" si="5"/>
        <v>8892.975</v>
      </c>
      <c r="I47" s="240">
        <f t="shared" si="6"/>
        <v>8892.975</v>
      </c>
      <c r="J47" s="240">
        <f t="shared" si="7"/>
        <v>8892.975</v>
      </c>
      <c r="K47" s="518" t="s">
        <v>784</v>
      </c>
      <c r="L47" s="574"/>
      <c r="M47" s="145"/>
    </row>
    <row r="48" spans="1:13" ht="18" customHeight="1">
      <c r="A48" s="1537"/>
      <c r="B48" s="1540"/>
      <c r="C48" s="1099" t="s">
        <v>1930</v>
      </c>
      <c r="D48" s="1100">
        <v>7130810684</v>
      </c>
      <c r="E48" s="243" t="s">
        <v>83</v>
      </c>
      <c r="F48" s="240">
        <f>VLOOKUP(D48,'SOR RATE'!A:D,4,0)</f>
        <v>6989.71</v>
      </c>
      <c r="G48" s="243">
        <v>12</v>
      </c>
      <c r="H48" s="1101">
        <f t="shared" si="5"/>
        <v>83876.52</v>
      </c>
      <c r="I48" s="240">
        <f t="shared" si="6"/>
        <v>83876.52</v>
      </c>
      <c r="J48" s="240">
        <f t="shared" si="7"/>
        <v>83876.52</v>
      </c>
      <c r="K48" s="532"/>
      <c r="L48" s="291"/>
      <c r="M48" s="291"/>
    </row>
    <row r="49" spans="1:13" ht="12.75">
      <c r="A49" s="1537"/>
      <c r="B49" s="1541"/>
      <c r="C49" s="967" t="s">
        <v>1931</v>
      </c>
      <c r="D49" s="235">
        <v>7130810517</v>
      </c>
      <c r="E49" s="243" t="s">
        <v>83</v>
      </c>
      <c r="F49" s="240">
        <f>VLOOKUP(D49,'SOR RATE'!A:D,4,0)</f>
        <v>3758.1</v>
      </c>
      <c r="G49" s="243">
        <v>7</v>
      </c>
      <c r="H49" s="1101">
        <f t="shared" si="5"/>
        <v>26306.7</v>
      </c>
      <c r="I49" s="240">
        <f t="shared" si="6"/>
        <v>26306.7</v>
      </c>
      <c r="J49" s="240">
        <f t="shared" si="7"/>
        <v>26306.7</v>
      </c>
      <c r="K49" s="532"/>
      <c r="L49" s="145"/>
      <c r="M49" s="148"/>
    </row>
    <row r="50" spans="1:13" ht="15.75" customHeight="1">
      <c r="A50" s="1537"/>
      <c r="B50" s="1109" t="s">
        <v>9</v>
      </c>
      <c r="C50" s="231" t="s">
        <v>1773</v>
      </c>
      <c r="D50" s="235">
        <v>7130601072</v>
      </c>
      <c r="E50" s="232" t="s">
        <v>1576</v>
      </c>
      <c r="F50" s="240">
        <f>VLOOKUP(D50,'SOR RATE'!A:D,4,0)/1000</f>
        <v>47.797</v>
      </c>
      <c r="G50" s="243">
        <v>300</v>
      </c>
      <c r="H50" s="1101">
        <f t="shared" si="5"/>
        <v>14339.099999999999</v>
      </c>
      <c r="I50" s="240">
        <f t="shared" si="6"/>
        <v>14339.099999999999</v>
      </c>
      <c r="J50" s="240">
        <f t="shared" si="7"/>
        <v>14339.099999999999</v>
      </c>
      <c r="K50" s="532"/>
      <c r="L50" s="145"/>
      <c r="M50" s="145"/>
    </row>
    <row r="51" spans="1:13" ht="15.75" customHeight="1">
      <c r="A51" s="1537"/>
      <c r="B51" s="1090" t="s">
        <v>11</v>
      </c>
      <c r="C51" s="1099" t="s">
        <v>1269</v>
      </c>
      <c r="D51" s="1100">
        <v>7130830063</v>
      </c>
      <c r="E51" s="239" t="s">
        <v>1721</v>
      </c>
      <c r="F51" s="240">
        <f>VLOOKUP(D51,'SOR RATE'!A:D,4,0)/1000</f>
        <v>54.885</v>
      </c>
      <c r="G51" s="239">
        <v>300</v>
      </c>
      <c r="H51" s="1101">
        <f t="shared" si="5"/>
        <v>16465.5</v>
      </c>
      <c r="I51" s="240">
        <f t="shared" si="6"/>
        <v>16465.5</v>
      </c>
      <c r="J51" s="240">
        <f t="shared" si="7"/>
        <v>16465.5</v>
      </c>
      <c r="K51" s="532"/>
      <c r="L51" s="145"/>
      <c r="M51" s="145"/>
    </row>
    <row r="52" spans="1:13" ht="12.75">
      <c r="A52" s="1537"/>
      <c r="B52" s="1090" t="s">
        <v>2175</v>
      </c>
      <c r="C52" s="1110" t="s">
        <v>1271</v>
      </c>
      <c r="D52" s="1111">
        <v>7130820009</v>
      </c>
      <c r="E52" s="242" t="s">
        <v>1611</v>
      </c>
      <c r="F52" s="240">
        <f>VLOOKUP(D52,'SOR RATE'!A:D,4,0)</f>
        <v>385</v>
      </c>
      <c r="G52" s="239">
        <v>3</v>
      </c>
      <c r="H52" s="1101">
        <f t="shared" si="5"/>
        <v>1155</v>
      </c>
      <c r="I52" s="240">
        <f t="shared" si="6"/>
        <v>1155</v>
      </c>
      <c r="J52" s="240">
        <f t="shared" si="7"/>
        <v>1155</v>
      </c>
      <c r="K52" s="532"/>
      <c r="L52" s="145"/>
      <c r="M52" s="145"/>
    </row>
    <row r="53" spans="1:11" ht="12.75">
      <c r="A53" s="1537"/>
      <c r="B53" s="1090" t="s">
        <v>2176</v>
      </c>
      <c r="C53" s="1083" t="s">
        <v>1270</v>
      </c>
      <c r="D53" s="1111">
        <v>7130820008</v>
      </c>
      <c r="E53" s="242" t="s">
        <v>1611</v>
      </c>
      <c r="F53" s="240">
        <f>VLOOKUP(D53,'SOR RATE'!A:D,4,0)</f>
        <v>202</v>
      </c>
      <c r="G53" s="239">
        <v>6</v>
      </c>
      <c r="H53" s="1101">
        <f t="shared" si="5"/>
        <v>1212</v>
      </c>
      <c r="I53" s="240">
        <f t="shared" si="6"/>
        <v>1212</v>
      </c>
      <c r="J53" s="1112">
        <f t="shared" si="7"/>
        <v>1212</v>
      </c>
      <c r="K53" s="532"/>
    </row>
    <row r="54" spans="1:11" ht="12.75">
      <c r="A54" s="1537"/>
      <c r="B54" s="1090" t="s">
        <v>2177</v>
      </c>
      <c r="C54" s="1083" t="s">
        <v>2178</v>
      </c>
      <c r="D54" s="1111">
        <v>7130830052</v>
      </c>
      <c r="E54" s="242" t="s">
        <v>83</v>
      </c>
      <c r="F54" s="240">
        <f>VLOOKUP(D54,'SOR RATE'!A:D,4,0)</f>
        <v>547</v>
      </c>
      <c r="G54" s="239">
        <v>7</v>
      </c>
      <c r="H54" s="1101">
        <f t="shared" si="5"/>
        <v>3829</v>
      </c>
      <c r="I54" s="240">
        <f t="shared" si="6"/>
        <v>3829</v>
      </c>
      <c r="J54" s="1112">
        <f t="shared" si="7"/>
        <v>3829</v>
      </c>
      <c r="K54" s="532"/>
    </row>
    <row r="55" spans="1:11" ht="12.75">
      <c r="A55" s="1537"/>
      <c r="B55" s="1090" t="s">
        <v>2179</v>
      </c>
      <c r="C55" s="1083" t="s">
        <v>2180</v>
      </c>
      <c r="D55" s="1111">
        <v>7130830054</v>
      </c>
      <c r="E55" s="242" t="s">
        <v>83</v>
      </c>
      <c r="F55" s="240">
        <f>VLOOKUP(D55,'SOR RATE'!A:D,4,0)</f>
        <v>319</v>
      </c>
      <c r="G55" s="239">
        <v>24</v>
      </c>
      <c r="H55" s="1101">
        <f t="shared" si="5"/>
        <v>7656</v>
      </c>
      <c r="I55" s="240">
        <f t="shared" si="6"/>
        <v>7656</v>
      </c>
      <c r="J55" s="1112">
        <f t="shared" si="7"/>
        <v>7656</v>
      </c>
      <c r="K55" s="532"/>
    </row>
    <row r="56" spans="1:12" ht="25.5">
      <c r="A56" s="1537"/>
      <c r="B56" s="1542" t="s">
        <v>2181</v>
      </c>
      <c r="C56" s="1113" t="s">
        <v>2182</v>
      </c>
      <c r="D56" s="1080"/>
      <c r="E56" s="1081"/>
      <c r="F56" s="1081"/>
      <c r="G56" s="1081"/>
      <c r="H56" s="1081"/>
      <c r="I56" s="1081"/>
      <c r="J56" s="1114"/>
      <c r="K56" s="530"/>
      <c r="L56" s="145"/>
    </row>
    <row r="57" spans="1:12" ht="12.75">
      <c r="A57" s="1537"/>
      <c r="B57" s="1543"/>
      <c r="C57" s="1116" t="s">
        <v>148</v>
      </c>
      <c r="D57" s="1111"/>
      <c r="E57" s="1117" t="s">
        <v>1330</v>
      </c>
      <c r="F57" s="1118">
        <f>H58+H59</f>
        <v>26562</v>
      </c>
      <c r="G57" s="1119">
        <v>18</v>
      </c>
      <c r="H57" s="1120"/>
      <c r="I57" s="1121"/>
      <c r="J57" s="1085"/>
      <c r="K57" s="175"/>
      <c r="L57" s="145"/>
    </row>
    <row r="58" spans="1:13" ht="12.75">
      <c r="A58" s="1537"/>
      <c r="B58" s="1543"/>
      <c r="C58" s="974" t="s">
        <v>1272</v>
      </c>
      <c r="D58" s="1111">
        <v>7130820011</v>
      </c>
      <c r="E58" s="1122" t="s">
        <v>83</v>
      </c>
      <c r="F58" s="1085">
        <f>VLOOKUP(D58,'SOR RATE'!A:D,4,0)</f>
        <v>307</v>
      </c>
      <c r="G58" s="1123">
        <v>30</v>
      </c>
      <c r="H58" s="1124">
        <f>G58*F58</f>
        <v>9210</v>
      </c>
      <c r="I58" s="1125">
        <f>G58*F58</f>
        <v>9210</v>
      </c>
      <c r="J58" s="1085">
        <f>G58*F58</f>
        <v>9210</v>
      </c>
      <c r="K58" s="573" t="s">
        <v>785</v>
      </c>
      <c r="L58" s="145"/>
      <c r="M58" s="145"/>
    </row>
    <row r="59" spans="1:13" ht="12.75">
      <c r="A59" s="1537"/>
      <c r="B59" s="1543"/>
      <c r="C59" s="974" t="s">
        <v>149</v>
      </c>
      <c r="D59" s="1084">
        <v>7130820248</v>
      </c>
      <c r="E59" s="242" t="s">
        <v>1611</v>
      </c>
      <c r="F59" s="1085">
        <f>VLOOKUP(D59,'SOR RATE'!A:D,4,0)</f>
        <v>241</v>
      </c>
      <c r="G59" s="242">
        <v>72</v>
      </c>
      <c r="H59" s="1124">
        <f>G59*F59</f>
        <v>17352</v>
      </c>
      <c r="I59" s="1125">
        <f>G59*F59</f>
        <v>17352</v>
      </c>
      <c r="J59" s="1085">
        <f>G59*F59</f>
        <v>17352</v>
      </c>
      <c r="K59" s="573" t="s">
        <v>786</v>
      </c>
      <c r="L59" s="145"/>
      <c r="M59" s="145"/>
    </row>
    <row r="60" spans="1:13" ht="12.75">
      <c r="A60" s="1537"/>
      <c r="B60" s="1543"/>
      <c r="C60" s="1126" t="s">
        <v>150</v>
      </c>
      <c r="D60" s="1111"/>
      <c r="E60" s="1127" t="s">
        <v>1330</v>
      </c>
      <c r="F60" s="1087">
        <f>H61+H62</f>
        <v>11364</v>
      </c>
      <c r="G60" s="245">
        <v>48</v>
      </c>
      <c r="H60" s="1124"/>
      <c r="I60" s="1125"/>
      <c r="J60" s="1085"/>
      <c r="K60" s="575"/>
      <c r="L60" s="145"/>
      <c r="M60" s="145"/>
    </row>
    <row r="61" spans="1:13" ht="12.75">
      <c r="A61" s="1537"/>
      <c r="B61" s="1543"/>
      <c r="C61" s="974" t="s">
        <v>1274</v>
      </c>
      <c r="D61" s="1111">
        <v>7130820010</v>
      </c>
      <c r="E61" s="242" t="s">
        <v>83</v>
      </c>
      <c r="F61" s="240">
        <f>VLOOKUP(D61,'SOR RATE'!A:D,4,0)</f>
        <v>142</v>
      </c>
      <c r="G61" s="239">
        <v>42</v>
      </c>
      <c r="H61" s="1101">
        <f>G61*F61</f>
        <v>5964</v>
      </c>
      <c r="I61" s="1125">
        <f>G61*F61</f>
        <v>5964</v>
      </c>
      <c r="J61" s="1085">
        <f>G61*F61</f>
        <v>5964</v>
      </c>
      <c r="K61" s="573" t="s">
        <v>2274</v>
      </c>
      <c r="L61" s="145"/>
      <c r="M61" s="145"/>
    </row>
    <row r="62" spans="1:13" ht="12.75">
      <c r="A62" s="1537"/>
      <c r="B62" s="1544"/>
      <c r="C62" s="974" t="s">
        <v>151</v>
      </c>
      <c r="D62" s="1111">
        <v>7130810624</v>
      </c>
      <c r="E62" s="242" t="s">
        <v>83</v>
      </c>
      <c r="F62" s="1085">
        <f>VLOOKUP(D62,'SOR RATE'!A:D,4,0)</f>
        <v>75</v>
      </c>
      <c r="G62" s="242">
        <v>72</v>
      </c>
      <c r="H62" s="1124">
        <f>G62*F62</f>
        <v>5400</v>
      </c>
      <c r="I62" s="1125">
        <f>G62*F62</f>
        <v>5400</v>
      </c>
      <c r="J62" s="1085">
        <f>G62*F62</f>
        <v>5400</v>
      </c>
      <c r="K62" s="573" t="s">
        <v>2275</v>
      </c>
      <c r="L62" s="145"/>
      <c r="M62" s="145"/>
    </row>
    <row r="63" spans="1:12" ht="25.5">
      <c r="A63" s="1538"/>
      <c r="B63" s="1115" t="s">
        <v>152</v>
      </c>
      <c r="C63" s="1128" t="s">
        <v>1273</v>
      </c>
      <c r="D63" s="1103">
        <v>7130830585</v>
      </c>
      <c r="E63" s="1077" t="s">
        <v>83</v>
      </c>
      <c r="F63" s="1095">
        <f>VLOOKUP(D63,'SOR RATE'!A:D,4,0)</f>
        <v>223</v>
      </c>
      <c r="G63" s="1077">
        <v>96</v>
      </c>
      <c r="H63" s="1129">
        <f>G63*F63</f>
        <v>21408</v>
      </c>
      <c r="I63" s="1130">
        <f>G63*F63</f>
        <v>21408</v>
      </c>
      <c r="J63" s="1095">
        <f>G63*F63</f>
        <v>21408</v>
      </c>
      <c r="K63" s="576" t="s">
        <v>2276</v>
      </c>
      <c r="L63" s="145"/>
    </row>
    <row r="64" spans="1:11" ht="12.75">
      <c r="A64" s="1536">
        <v>3</v>
      </c>
      <c r="B64" s="1073"/>
      <c r="C64" s="1074" t="s">
        <v>153</v>
      </c>
      <c r="D64" s="1075"/>
      <c r="E64" s="1075"/>
      <c r="F64" s="1075"/>
      <c r="G64" s="1075"/>
      <c r="H64" s="1075"/>
      <c r="I64" s="1075"/>
      <c r="J64" s="1076"/>
      <c r="K64" s="529"/>
    </row>
    <row r="65" spans="1:11" ht="29.25" customHeight="1">
      <c r="A65" s="1537"/>
      <c r="B65" s="1078" t="s">
        <v>71</v>
      </c>
      <c r="C65" s="901" t="s">
        <v>154</v>
      </c>
      <c r="D65" s="1103">
        <v>7130200401</v>
      </c>
      <c r="E65" s="1072" t="s">
        <v>1576</v>
      </c>
      <c r="F65" s="1095">
        <f>VLOOKUP(D65,'SOR RATE'!A:D,4,0)/50</f>
        <v>4.9</v>
      </c>
      <c r="G65" s="1131">
        <f>8.6*208</f>
        <v>1788.8</v>
      </c>
      <c r="H65" s="1095">
        <f>G65*F65</f>
        <v>8765.12</v>
      </c>
      <c r="I65" s="1095">
        <f>G65*F65</f>
        <v>8765.12</v>
      </c>
      <c r="J65" s="1095">
        <f>G65*F65</f>
        <v>8765.12</v>
      </c>
      <c r="K65" s="577" t="s">
        <v>2277</v>
      </c>
    </row>
    <row r="66" spans="1:11" ht="18" customHeight="1">
      <c r="A66" s="1537"/>
      <c r="B66" s="1078" t="s">
        <v>1578</v>
      </c>
      <c r="C66" s="901" t="s">
        <v>488</v>
      </c>
      <c r="D66" s="1103">
        <v>7130200401</v>
      </c>
      <c r="E66" s="1072" t="s">
        <v>1576</v>
      </c>
      <c r="F66" s="1095">
        <f>+F65</f>
        <v>4.9</v>
      </c>
      <c r="G66" s="1000">
        <v>3120</v>
      </c>
      <c r="H66" s="1095">
        <f>G66*F66</f>
        <v>15288.000000000002</v>
      </c>
      <c r="I66" s="1132">
        <f>G66*F66</f>
        <v>15288.000000000002</v>
      </c>
      <c r="J66" s="1132">
        <f>G66*F66</f>
        <v>15288.000000000002</v>
      </c>
      <c r="K66" s="533"/>
    </row>
    <row r="67" spans="1:11" ht="25.5">
      <c r="A67" s="1537"/>
      <c r="B67" s="1078" t="s">
        <v>352</v>
      </c>
      <c r="C67" s="1110" t="s">
        <v>875</v>
      </c>
      <c r="D67" s="1103">
        <v>7130200401</v>
      </c>
      <c r="E67" s="1072" t="s">
        <v>1576</v>
      </c>
      <c r="F67" s="1095">
        <f>+F66</f>
        <v>4.9</v>
      </c>
      <c r="G67" s="1000">
        <v>2496</v>
      </c>
      <c r="H67" s="1132">
        <f>G67*F67</f>
        <v>12230.400000000001</v>
      </c>
      <c r="I67" s="1132">
        <f>G67*F67</f>
        <v>12230.400000000001</v>
      </c>
      <c r="J67" s="1132">
        <f>G67*F67</f>
        <v>12230.400000000001</v>
      </c>
      <c r="K67" s="533"/>
    </row>
    <row r="68" spans="1:11" ht="25.5">
      <c r="A68" s="1537"/>
      <c r="B68" s="1133" t="s">
        <v>354</v>
      </c>
      <c r="C68" s="1110" t="s">
        <v>450</v>
      </c>
      <c r="D68" s="1103">
        <v>7130200401</v>
      </c>
      <c r="E68" s="1072" t="s">
        <v>1576</v>
      </c>
      <c r="F68" s="1095">
        <f>+F67</f>
        <v>4.9</v>
      </c>
      <c r="G68" s="1000">
        <v>1456</v>
      </c>
      <c r="H68" s="1132">
        <f>G68*F68</f>
        <v>7134.400000000001</v>
      </c>
      <c r="I68" s="1132">
        <f>G68*F68</f>
        <v>7134.400000000001</v>
      </c>
      <c r="J68" s="1132">
        <f>G68*F68</f>
        <v>7134.400000000001</v>
      </c>
      <c r="K68" s="533"/>
    </row>
    <row r="69" spans="1:11" ht="12.75">
      <c r="A69" s="1537"/>
      <c r="B69" s="1090" t="s">
        <v>356</v>
      </c>
      <c r="C69" s="1110" t="s">
        <v>489</v>
      </c>
      <c r="D69" s="1103" t="s">
        <v>490</v>
      </c>
      <c r="E69" s="1000"/>
      <c r="F69" s="1095">
        <v>3630</v>
      </c>
      <c r="G69" s="1000" t="s">
        <v>64</v>
      </c>
      <c r="H69" s="1095"/>
      <c r="I69" s="1095"/>
      <c r="J69" s="1095"/>
      <c r="K69" s="533"/>
    </row>
    <row r="70" spans="1:11" ht="12.75">
      <c r="A70" s="1537"/>
      <c r="B70" s="1542" t="s">
        <v>358</v>
      </c>
      <c r="C70" s="1113" t="s">
        <v>491</v>
      </c>
      <c r="D70" s="1080"/>
      <c r="E70" s="1081"/>
      <c r="F70" s="1081"/>
      <c r="G70" s="1081"/>
      <c r="H70" s="1081"/>
      <c r="I70" s="1081"/>
      <c r="J70" s="1082"/>
      <c r="K70" s="530"/>
    </row>
    <row r="71" spans="1:11" ht="12.75">
      <c r="A71" s="1537"/>
      <c r="B71" s="1543"/>
      <c r="C71" s="1134" t="s">
        <v>2144</v>
      </c>
      <c r="D71" s="1111">
        <v>7130310658</v>
      </c>
      <c r="E71" s="242" t="s">
        <v>1721</v>
      </c>
      <c r="F71" s="1085">
        <f>VLOOKUP(D71,'SOR RATE'!A:D,4,0)/1000</f>
        <v>106.359</v>
      </c>
      <c r="G71" s="242">
        <v>180</v>
      </c>
      <c r="H71" s="1135">
        <f>G71*F71</f>
        <v>19144.62</v>
      </c>
      <c r="I71" s="1135">
        <f>G71*F71</f>
        <v>19144.62</v>
      </c>
      <c r="J71" s="1135">
        <f>G71*F71</f>
        <v>19144.62</v>
      </c>
      <c r="K71" s="175"/>
    </row>
    <row r="72" spans="1:11" ht="12.75">
      <c r="A72" s="1537"/>
      <c r="B72" s="1543"/>
      <c r="C72" s="1134" t="s">
        <v>2145</v>
      </c>
      <c r="D72" s="1136">
        <v>7130310654</v>
      </c>
      <c r="E72" s="1137" t="s">
        <v>1721</v>
      </c>
      <c r="F72" s="1085">
        <f>VLOOKUP(D72,'SOR RATE'!A:D,4,0)/1000</f>
        <v>58.843</v>
      </c>
      <c r="G72" s="1137">
        <f>360+120+240</f>
        <v>720</v>
      </c>
      <c r="H72" s="1138">
        <f>G72*F72</f>
        <v>42366.96</v>
      </c>
      <c r="I72" s="1138">
        <f>G72*F72</f>
        <v>42366.96</v>
      </c>
      <c r="J72" s="1138">
        <f>G72*F72</f>
        <v>42366.96</v>
      </c>
      <c r="K72" s="534"/>
    </row>
    <row r="73" spans="1:11" ht="12.75">
      <c r="A73" s="1537"/>
      <c r="B73" s="1544"/>
      <c r="C73" s="1134" t="s">
        <v>926</v>
      </c>
      <c r="D73" s="1136">
        <v>7130310652</v>
      </c>
      <c r="E73" s="1137" t="s">
        <v>1721</v>
      </c>
      <c r="F73" s="1085">
        <f>VLOOKUP(D73,'SOR RATE'!A:D,4,0)/1000</f>
        <v>35.395</v>
      </c>
      <c r="G73" s="1137">
        <v>180</v>
      </c>
      <c r="H73" s="1138">
        <f>G73*F73</f>
        <v>6371.1</v>
      </c>
      <c r="I73" s="1138">
        <f>G73*F73</f>
        <v>6371.1</v>
      </c>
      <c r="J73" s="1138">
        <f>G73*F73</f>
        <v>6371.1</v>
      </c>
      <c r="K73" s="534"/>
    </row>
    <row r="74" spans="1:11" ht="12.75">
      <c r="A74" s="1537"/>
      <c r="B74" s="1542" t="s">
        <v>359</v>
      </c>
      <c r="C74" s="1139" t="s">
        <v>927</v>
      </c>
      <c r="D74" s="1140"/>
      <c r="E74" s="1137" t="s">
        <v>64</v>
      </c>
      <c r="F74" s="1141">
        <v>120000</v>
      </c>
      <c r="G74" s="1137" t="s">
        <v>64</v>
      </c>
      <c r="H74" s="1142"/>
      <c r="I74" s="1142"/>
      <c r="J74" s="1142"/>
      <c r="K74" s="534"/>
    </row>
    <row r="75" spans="1:11" ht="38.25">
      <c r="A75" s="1537"/>
      <c r="B75" s="1543"/>
      <c r="C75" s="1143" t="s">
        <v>631</v>
      </c>
      <c r="D75" s="1144"/>
      <c r="E75" s="1145"/>
      <c r="F75" s="1145"/>
      <c r="G75" s="1145"/>
      <c r="H75" s="1145"/>
      <c r="I75" s="1145"/>
      <c r="J75" s="1146"/>
      <c r="K75" s="535"/>
    </row>
    <row r="76" spans="1:12" ht="18.75" customHeight="1">
      <c r="A76" s="1537"/>
      <c r="B76" s="1543"/>
      <c r="C76" s="901" t="s">
        <v>216</v>
      </c>
      <c r="D76" s="1147">
        <v>7130642041</v>
      </c>
      <c r="E76" s="1148" t="s">
        <v>83</v>
      </c>
      <c r="F76" s="240">
        <f>VLOOKUP(D76,'SOR RATE'!A:D,4,0)</f>
        <v>3914</v>
      </c>
      <c r="G76" s="1148">
        <v>9</v>
      </c>
      <c r="H76" s="1149">
        <f aca="true" t="shared" si="8" ref="H76:H82">G76*F76</f>
        <v>35226</v>
      </c>
      <c r="I76" s="1149">
        <f aca="true" t="shared" si="9" ref="I76:I82">G76*F76</f>
        <v>35226</v>
      </c>
      <c r="J76" s="1149">
        <f aca="true" t="shared" si="10" ref="J76:J82">G76*F76</f>
        <v>35226</v>
      </c>
      <c r="K76" s="546" t="s">
        <v>2278</v>
      </c>
      <c r="L76" s="106"/>
    </row>
    <row r="77" spans="1:12" ht="38.25">
      <c r="A77" s="1537"/>
      <c r="B77" s="1543"/>
      <c r="C77" s="1002" t="s">
        <v>632</v>
      </c>
      <c r="D77" s="1150">
        <v>7130642039</v>
      </c>
      <c r="E77" s="1151" t="s">
        <v>83</v>
      </c>
      <c r="F77" s="1095">
        <f>VLOOKUP(D77,'SOR RATE'!A:D,4,0)</f>
        <v>770</v>
      </c>
      <c r="G77" s="1151">
        <v>24</v>
      </c>
      <c r="H77" s="1152">
        <f t="shared" si="8"/>
        <v>18480</v>
      </c>
      <c r="I77" s="1152">
        <f t="shared" si="9"/>
        <v>18480</v>
      </c>
      <c r="J77" s="1152">
        <f t="shared" si="10"/>
        <v>18480</v>
      </c>
      <c r="K77" s="578" t="s">
        <v>2279</v>
      </c>
      <c r="L77" s="105"/>
    </row>
    <row r="78" spans="1:12" ht="12.75">
      <c r="A78" s="1537"/>
      <c r="B78" s="1543"/>
      <c r="C78" s="236" t="s">
        <v>633</v>
      </c>
      <c r="D78" s="1150">
        <v>7130600173</v>
      </c>
      <c r="E78" s="1151" t="s">
        <v>1576</v>
      </c>
      <c r="F78" s="1085">
        <f>VLOOKUP(D78,'SOR RATE'!A:D,4,0)/1000</f>
        <v>34.149</v>
      </c>
      <c r="G78" s="1151">
        <v>400</v>
      </c>
      <c r="H78" s="1152">
        <f t="shared" si="8"/>
        <v>13659.6</v>
      </c>
      <c r="I78" s="1152">
        <f t="shared" si="9"/>
        <v>13659.6</v>
      </c>
      <c r="J78" s="1153">
        <f t="shared" si="10"/>
        <v>13659.6</v>
      </c>
      <c r="K78" s="537"/>
      <c r="L78" s="515"/>
    </row>
    <row r="79" spans="1:11" ht="12.75">
      <c r="A79" s="1537"/>
      <c r="B79" s="1543"/>
      <c r="C79" s="1002" t="s">
        <v>219</v>
      </c>
      <c r="D79" s="1150">
        <v>7130870043</v>
      </c>
      <c r="E79" s="1151" t="s">
        <v>1576</v>
      </c>
      <c r="F79" s="1085">
        <f>VLOOKUP(D79,'SOR RATE'!A:D,4,0)/1000</f>
        <v>52.969</v>
      </c>
      <c r="G79" s="1151">
        <v>31</v>
      </c>
      <c r="H79" s="1152">
        <f t="shared" si="8"/>
        <v>1642.039</v>
      </c>
      <c r="I79" s="1152">
        <f t="shared" si="9"/>
        <v>1642.039</v>
      </c>
      <c r="J79" s="1152">
        <f t="shared" si="10"/>
        <v>1642.039</v>
      </c>
      <c r="K79" s="537"/>
    </row>
    <row r="80" spans="1:11" ht="12.75">
      <c r="A80" s="1537"/>
      <c r="B80" s="1543"/>
      <c r="C80" s="233" t="s">
        <v>220</v>
      </c>
      <c r="D80" s="1150">
        <v>7130620133</v>
      </c>
      <c r="E80" s="1151" t="s">
        <v>1576</v>
      </c>
      <c r="F80" s="1085">
        <f>VLOOKUP(D80,'SOR RATE'!A:D,4,0)</f>
        <v>87</v>
      </c>
      <c r="G80" s="1151">
        <v>25</v>
      </c>
      <c r="H80" s="1152">
        <f t="shared" si="8"/>
        <v>2175</v>
      </c>
      <c r="I80" s="1152">
        <f t="shared" si="9"/>
        <v>2175</v>
      </c>
      <c r="J80" s="1152">
        <f t="shared" si="10"/>
        <v>2175</v>
      </c>
      <c r="K80" s="537"/>
    </row>
    <row r="81" spans="1:11" ht="12.75">
      <c r="A81" s="1537"/>
      <c r="B81" s="1543"/>
      <c r="C81" s="233" t="s">
        <v>1735</v>
      </c>
      <c r="D81" s="1150">
        <v>7130620140</v>
      </c>
      <c r="E81" s="1151" t="s">
        <v>1576</v>
      </c>
      <c r="F81" s="1085">
        <f>VLOOKUP(D81,'SOR RATE'!A:D,4,0)</f>
        <v>87</v>
      </c>
      <c r="G81" s="1151">
        <v>10</v>
      </c>
      <c r="H81" s="1152">
        <f t="shared" si="8"/>
        <v>870</v>
      </c>
      <c r="I81" s="1152">
        <f t="shared" si="9"/>
        <v>870</v>
      </c>
      <c r="J81" s="1152">
        <f t="shared" si="10"/>
        <v>870</v>
      </c>
      <c r="K81" s="537"/>
    </row>
    <row r="82" spans="1:11" ht="12.75">
      <c r="A82" s="1537"/>
      <c r="B82" s="1544"/>
      <c r="C82" s="236" t="s">
        <v>1736</v>
      </c>
      <c r="D82" s="1150">
        <v>7130622922</v>
      </c>
      <c r="E82" s="1151" t="s">
        <v>1576</v>
      </c>
      <c r="F82" s="1085">
        <f>VLOOKUP(D82,'SOR RATE'!A:D,4,0)</f>
        <v>125</v>
      </c>
      <c r="G82" s="1151">
        <v>5</v>
      </c>
      <c r="H82" s="1152">
        <f t="shared" si="8"/>
        <v>625</v>
      </c>
      <c r="I82" s="1152">
        <f t="shared" si="9"/>
        <v>625</v>
      </c>
      <c r="J82" s="1152">
        <f t="shared" si="10"/>
        <v>625</v>
      </c>
      <c r="K82" s="537"/>
    </row>
    <row r="83" spans="1:11" ht="12.75">
      <c r="A83" s="1537"/>
      <c r="B83" s="1542" t="s">
        <v>362</v>
      </c>
      <c r="C83" s="1139" t="s">
        <v>634</v>
      </c>
      <c r="D83" s="1150"/>
      <c r="E83" s="1151" t="s">
        <v>1576</v>
      </c>
      <c r="F83" s="1085"/>
      <c r="G83" s="1137">
        <v>125</v>
      </c>
      <c r="H83" s="1152"/>
      <c r="I83" s="1152"/>
      <c r="J83" s="1152"/>
      <c r="K83" s="537"/>
    </row>
    <row r="84" spans="1:11" ht="12.75">
      <c r="A84" s="1537"/>
      <c r="B84" s="1543"/>
      <c r="C84" s="236" t="s">
        <v>635</v>
      </c>
      <c r="D84" s="1150">
        <v>7130620609</v>
      </c>
      <c r="E84" s="1137" t="s">
        <v>1576</v>
      </c>
      <c r="F84" s="1085">
        <f>VLOOKUP(D84,'SOR RATE'!A:D,4,0)</f>
        <v>63</v>
      </c>
      <c r="G84" s="1137">
        <v>10</v>
      </c>
      <c r="H84" s="1152">
        <f aca="true" t="shared" si="11" ref="H84:H89">G84*F84</f>
        <v>630</v>
      </c>
      <c r="I84" s="1152">
        <f aca="true" t="shared" si="12" ref="I84:I89">G84*F84</f>
        <v>630</v>
      </c>
      <c r="J84" s="1152">
        <f aca="true" t="shared" si="13" ref="J84:J89">G84*F84</f>
        <v>630</v>
      </c>
      <c r="K84" s="537"/>
    </row>
    <row r="85" spans="1:11" ht="12.75">
      <c r="A85" s="1537"/>
      <c r="B85" s="1543"/>
      <c r="C85" s="236" t="s">
        <v>447</v>
      </c>
      <c r="D85" s="1150">
        <v>7130620614</v>
      </c>
      <c r="E85" s="1137" t="s">
        <v>1576</v>
      </c>
      <c r="F85" s="1085">
        <f>VLOOKUP(D85,'SOR RATE'!A:D,4,0)</f>
        <v>62</v>
      </c>
      <c r="G85" s="1137">
        <v>8</v>
      </c>
      <c r="H85" s="1152">
        <f t="shared" si="11"/>
        <v>496</v>
      </c>
      <c r="I85" s="1152">
        <f t="shared" si="12"/>
        <v>496</v>
      </c>
      <c r="J85" s="1152">
        <f t="shared" si="13"/>
        <v>496</v>
      </c>
      <c r="K85" s="537"/>
    </row>
    <row r="86" spans="1:11" ht="12.75">
      <c r="A86" s="1537"/>
      <c r="B86" s="1543"/>
      <c r="C86" s="236" t="s">
        <v>448</v>
      </c>
      <c r="D86" s="1150">
        <v>7130620619</v>
      </c>
      <c r="E86" s="1137" t="s">
        <v>1576</v>
      </c>
      <c r="F86" s="1085">
        <f>VLOOKUP(D86,'SOR RATE'!A:D,4,0)</f>
        <v>62</v>
      </c>
      <c r="G86" s="1137">
        <v>25</v>
      </c>
      <c r="H86" s="1152">
        <f t="shared" si="11"/>
        <v>1550</v>
      </c>
      <c r="I86" s="1152">
        <f t="shared" si="12"/>
        <v>1550</v>
      </c>
      <c r="J86" s="1152">
        <f t="shared" si="13"/>
        <v>1550</v>
      </c>
      <c r="K86" s="537"/>
    </row>
    <row r="87" spans="1:11" ht="12.75">
      <c r="A87" s="1537"/>
      <c r="B87" s="1543"/>
      <c r="C87" s="236" t="s">
        <v>449</v>
      </c>
      <c r="D87" s="1150">
        <v>7130620627</v>
      </c>
      <c r="E87" s="1137" t="s">
        <v>1576</v>
      </c>
      <c r="F87" s="1085">
        <f>VLOOKUP(D87,'SOR RATE'!A:D,4,0)</f>
        <v>61</v>
      </c>
      <c r="G87" s="1137">
        <v>70</v>
      </c>
      <c r="H87" s="1152">
        <f t="shared" si="11"/>
        <v>4270</v>
      </c>
      <c r="I87" s="1152">
        <f t="shared" si="12"/>
        <v>4270</v>
      </c>
      <c r="J87" s="1152">
        <f t="shared" si="13"/>
        <v>4270</v>
      </c>
      <c r="K87" s="537"/>
    </row>
    <row r="88" spans="1:11" ht="12.75">
      <c r="A88" s="1537"/>
      <c r="B88" s="1543"/>
      <c r="C88" s="236" t="s">
        <v>131</v>
      </c>
      <c r="D88" s="1150">
        <v>7130620631</v>
      </c>
      <c r="E88" s="1137" t="s">
        <v>1576</v>
      </c>
      <c r="F88" s="1085">
        <f>VLOOKUP(D88,'SOR RATE'!A:D,4,0)</f>
        <v>61</v>
      </c>
      <c r="G88" s="1137">
        <v>80</v>
      </c>
      <c r="H88" s="1152">
        <f t="shared" si="11"/>
        <v>4880</v>
      </c>
      <c r="I88" s="1152">
        <f t="shared" si="12"/>
        <v>4880</v>
      </c>
      <c r="J88" s="1152">
        <f t="shared" si="13"/>
        <v>4880</v>
      </c>
      <c r="K88" s="537"/>
    </row>
    <row r="89" spans="1:11" ht="12.75">
      <c r="A89" s="1538"/>
      <c r="B89" s="1544"/>
      <c r="C89" s="236" t="s">
        <v>132</v>
      </c>
      <c r="D89" s="1150">
        <v>7130620637</v>
      </c>
      <c r="E89" s="1137" t="s">
        <v>1576</v>
      </c>
      <c r="F89" s="1085">
        <f>VLOOKUP(D89,'SOR RATE'!A:D,4,0)</f>
        <v>61</v>
      </c>
      <c r="G89" s="1137">
        <v>20</v>
      </c>
      <c r="H89" s="1152">
        <f t="shared" si="11"/>
        <v>1220</v>
      </c>
      <c r="I89" s="1152">
        <f t="shared" si="12"/>
        <v>1220</v>
      </c>
      <c r="J89" s="1152">
        <f t="shared" si="13"/>
        <v>1220</v>
      </c>
      <c r="K89" s="537"/>
    </row>
    <row r="90" spans="1:12" ht="13.5">
      <c r="A90" s="245">
        <v>4</v>
      </c>
      <c r="B90" s="1073"/>
      <c r="C90" s="1079" t="s">
        <v>133</v>
      </c>
      <c r="D90" s="1154"/>
      <c r="E90" s="1155"/>
      <c r="F90" s="1155"/>
      <c r="G90" s="1155"/>
      <c r="H90" s="1141">
        <f>SUM(H10:H89)</f>
        <v>2262769.134</v>
      </c>
      <c r="I90" s="1141">
        <f>SUM(I10:I89)</f>
        <v>3788578.134000001</v>
      </c>
      <c r="J90" s="1141">
        <f>SUM(J10:J89)</f>
        <v>4653082.134</v>
      </c>
      <c r="K90" s="538"/>
      <c r="L90" s="545"/>
    </row>
    <row r="91" spans="1:13" ht="15.75" customHeight="1">
      <c r="A91" s="1529">
        <v>5</v>
      </c>
      <c r="B91" s="1156"/>
      <c r="C91" s="1157" t="s">
        <v>1051</v>
      </c>
      <c r="D91" s="1158"/>
      <c r="E91" s="1158"/>
      <c r="F91" s="1159">
        <v>0.09</v>
      </c>
      <c r="G91" s="1159"/>
      <c r="H91" s="1160">
        <f>H90*F91</f>
        <v>203649.22206</v>
      </c>
      <c r="I91" s="1160">
        <f>I90*F91</f>
        <v>340972.03206000006</v>
      </c>
      <c r="J91" s="1160">
        <f>J90*F91</f>
        <v>418777.3920599999</v>
      </c>
      <c r="K91" s="536"/>
      <c r="M91" s="272"/>
    </row>
    <row r="92" spans="1:11" ht="12.75">
      <c r="A92" s="1530"/>
      <c r="B92" s="1532"/>
      <c r="C92" s="1161" t="s">
        <v>134</v>
      </c>
      <c r="D92" s="1162"/>
      <c r="E92" s="1163" t="s">
        <v>1331</v>
      </c>
      <c r="F92" s="1160">
        <f>10254.24*1.27*1.0891*1.086275*1.1112*1.0685*1.06217</f>
        <v>19430.122188554244</v>
      </c>
      <c r="G92" s="1164">
        <v>1</v>
      </c>
      <c r="H92" s="1149">
        <f>G92*F92</f>
        <v>19430.122188554244</v>
      </c>
      <c r="I92" s="1149">
        <f>G92*F92</f>
        <v>19430.122188554244</v>
      </c>
      <c r="J92" s="1149">
        <f>G92*F92</f>
        <v>19430.122188554244</v>
      </c>
      <c r="K92" s="536"/>
    </row>
    <row r="93" spans="1:11" ht="12.75">
      <c r="A93" s="1530"/>
      <c r="B93" s="1532"/>
      <c r="C93" s="1161" t="s">
        <v>135</v>
      </c>
      <c r="D93" s="1162"/>
      <c r="E93" s="1165" t="s">
        <v>1331</v>
      </c>
      <c r="F93" s="1160">
        <f>1.1*6000*1.27*1.0891*1.086275*1.1112*1.0685*1.06217</f>
        <v>12505.929883097924</v>
      </c>
      <c r="G93" s="1164">
        <v>1</v>
      </c>
      <c r="H93" s="1149">
        <f aca="true" t="shared" si="14" ref="H93:H100">F93*G93</f>
        <v>12505.929883097924</v>
      </c>
      <c r="I93" s="1149">
        <f aca="true" t="shared" si="15" ref="I93:I100">F93*G93</f>
        <v>12505.929883097924</v>
      </c>
      <c r="J93" s="1149">
        <f>G93*F93</f>
        <v>12505.929883097924</v>
      </c>
      <c r="K93" s="536"/>
    </row>
    <row r="94" spans="1:12" ht="12.75">
      <c r="A94" s="1530"/>
      <c r="B94" s="1532"/>
      <c r="C94" s="1161" t="s">
        <v>1689</v>
      </c>
      <c r="D94" s="1162"/>
      <c r="E94" s="1165" t="s">
        <v>1571</v>
      </c>
      <c r="F94" s="1085">
        <v>1400</v>
      </c>
      <c r="G94" s="1164">
        <v>45</v>
      </c>
      <c r="H94" s="1149">
        <f t="shared" si="14"/>
        <v>63000</v>
      </c>
      <c r="I94" s="1149">
        <f t="shared" si="15"/>
        <v>63000</v>
      </c>
      <c r="J94" s="1149">
        <f>F94*G94</f>
        <v>63000</v>
      </c>
      <c r="K94" s="518" t="s">
        <v>2280</v>
      </c>
      <c r="L94" s="579"/>
    </row>
    <row r="95" spans="1:11" ht="12.75">
      <c r="A95" s="1530"/>
      <c r="B95" s="1532"/>
      <c r="C95" s="236" t="s">
        <v>10</v>
      </c>
      <c r="D95" s="1166"/>
      <c r="E95" s="1167" t="s">
        <v>83</v>
      </c>
      <c r="F95" s="1160">
        <f>1.1*5000*1.27*1.0891*1.086275*1.1112*1.0685*1.06217</f>
        <v>10421.608235914933</v>
      </c>
      <c r="G95" s="1164">
        <v>1</v>
      </c>
      <c r="H95" s="1149">
        <f t="shared" si="14"/>
        <v>10421.608235914933</v>
      </c>
      <c r="I95" s="1149">
        <f t="shared" si="15"/>
        <v>10421.608235914933</v>
      </c>
      <c r="J95" s="1149">
        <f aca="true" t="shared" si="16" ref="J95:J100">G95*F95</f>
        <v>10421.608235914933</v>
      </c>
      <c r="K95" s="536"/>
    </row>
    <row r="96" spans="1:11" ht="25.5">
      <c r="A96" s="1530"/>
      <c r="B96" s="1532"/>
      <c r="C96" s="1168" t="s">
        <v>136</v>
      </c>
      <c r="D96" s="1162"/>
      <c r="E96" s="1169" t="s">
        <v>1571</v>
      </c>
      <c r="F96" s="1160">
        <f>1664*1.27*1.0891*1.086275*1.1112*1.0685*1.06217</f>
        <v>3153.010200829536</v>
      </c>
      <c r="G96" s="1148">
        <v>8.6</v>
      </c>
      <c r="H96" s="1149">
        <f t="shared" si="14"/>
        <v>27115.88772713401</v>
      </c>
      <c r="I96" s="1149">
        <f t="shared" si="15"/>
        <v>27115.88772713401</v>
      </c>
      <c r="J96" s="1149">
        <f t="shared" si="16"/>
        <v>27115.88772713401</v>
      </c>
      <c r="K96" s="546" t="s">
        <v>2281</v>
      </c>
    </row>
    <row r="97" spans="1:11" ht="15" customHeight="1">
      <c r="A97" s="1530"/>
      <c r="B97" s="1532"/>
      <c r="C97" s="1099" t="s">
        <v>137</v>
      </c>
      <c r="D97" s="1162"/>
      <c r="E97" s="1165" t="s">
        <v>1571</v>
      </c>
      <c r="F97" s="1160">
        <f>1664*1.27*1.0891*1.086275*1.1112*1.0685*1.06217</f>
        <v>3153.010200829536</v>
      </c>
      <c r="G97" s="1137">
        <v>15</v>
      </c>
      <c r="H97" s="1149">
        <f t="shared" si="14"/>
        <v>47295.15301244304</v>
      </c>
      <c r="I97" s="1149">
        <f t="shared" si="15"/>
        <v>47295.15301244304</v>
      </c>
      <c r="J97" s="1149">
        <f t="shared" si="16"/>
        <v>47295.15301244304</v>
      </c>
      <c r="K97" s="536"/>
    </row>
    <row r="98" spans="1:11" ht="26.25" customHeight="1">
      <c r="A98" s="1530"/>
      <c r="B98" s="1532"/>
      <c r="C98" s="1099" t="s">
        <v>138</v>
      </c>
      <c r="D98" s="1140"/>
      <c r="E98" s="1170" t="s">
        <v>1571</v>
      </c>
      <c r="F98" s="1160">
        <f>1664*1.27*1.0891*1.086275*1.1112*1.0685*1.06217</f>
        <v>3153.010200829536</v>
      </c>
      <c r="G98" s="1148">
        <v>12</v>
      </c>
      <c r="H98" s="1149">
        <f t="shared" si="14"/>
        <v>37836.122409954434</v>
      </c>
      <c r="I98" s="1149">
        <f t="shared" si="15"/>
        <v>37836.122409954434</v>
      </c>
      <c r="J98" s="1149">
        <f t="shared" si="16"/>
        <v>37836.122409954434</v>
      </c>
      <c r="K98" s="536"/>
    </row>
    <row r="99" spans="1:11" ht="27.75" customHeight="1">
      <c r="A99" s="1530"/>
      <c r="B99" s="1532"/>
      <c r="C99" s="1099" t="s">
        <v>139</v>
      </c>
      <c r="D99" s="1140"/>
      <c r="E99" s="1170" t="s">
        <v>1571</v>
      </c>
      <c r="F99" s="1160">
        <f>1664*1.27*1.0891*1.086275*1.1112*1.0685*1.06217</f>
        <v>3153.010200829536</v>
      </c>
      <c r="G99" s="1148">
        <v>7</v>
      </c>
      <c r="H99" s="1149">
        <f t="shared" si="14"/>
        <v>22071.071405806753</v>
      </c>
      <c r="I99" s="1149">
        <f t="shared" si="15"/>
        <v>22071.071405806753</v>
      </c>
      <c r="J99" s="1149">
        <f t="shared" si="16"/>
        <v>22071.071405806753</v>
      </c>
      <c r="K99" s="536"/>
    </row>
    <row r="100" spans="1:11" ht="14.25" customHeight="1">
      <c r="A100" s="1531"/>
      <c r="B100" s="1533"/>
      <c r="C100" s="1099" t="s">
        <v>140</v>
      </c>
      <c r="D100" s="1171"/>
      <c r="E100" s="1169" t="s">
        <v>83</v>
      </c>
      <c r="F100" s="1160">
        <f>1.1*800*1.27*1.0891*1.086275*1.1112*1.0685*1.06217</f>
        <v>1667.4573177463897</v>
      </c>
      <c r="G100" s="1164">
        <v>30</v>
      </c>
      <c r="H100" s="1149">
        <f t="shared" si="14"/>
        <v>50023.71953239169</v>
      </c>
      <c r="I100" s="1149">
        <f t="shared" si="15"/>
        <v>50023.71953239169</v>
      </c>
      <c r="J100" s="1149">
        <f t="shared" si="16"/>
        <v>50023.71953239169</v>
      </c>
      <c r="K100" s="536"/>
    </row>
    <row r="101" spans="1:11" ht="15" customHeight="1">
      <c r="A101" s="1534">
        <v>6</v>
      </c>
      <c r="B101" s="242"/>
      <c r="C101" s="1172" t="s">
        <v>1039</v>
      </c>
      <c r="D101" s="1173"/>
      <c r="E101" s="1174"/>
      <c r="F101" s="1174"/>
      <c r="G101" s="1174"/>
      <c r="H101" s="1160">
        <f>H102+H103</f>
        <v>128269.55000000002</v>
      </c>
      <c r="I101" s="1160">
        <f>I102+I103</f>
        <v>136489.43</v>
      </c>
      <c r="J101" s="1160">
        <f>J102+J103</f>
        <v>144984.28000000003</v>
      </c>
      <c r="K101" s="534"/>
    </row>
    <row r="102" spans="1:12" ht="13.5" customHeight="1">
      <c r="A102" s="1534"/>
      <c r="B102" s="1175" t="s">
        <v>71</v>
      </c>
      <c r="C102" s="1176" t="s">
        <v>1040</v>
      </c>
      <c r="D102" s="1136"/>
      <c r="E102" s="1177"/>
      <c r="F102" s="1177"/>
      <c r="G102" s="1177"/>
      <c r="H102" s="1178">
        <v>43570.32</v>
      </c>
      <c r="I102" s="1178">
        <v>51790.2</v>
      </c>
      <c r="J102" s="1178">
        <v>60285.05</v>
      </c>
      <c r="K102" s="534"/>
      <c r="L102" s="292"/>
    </row>
    <row r="103" spans="1:13" ht="27.75" customHeight="1">
      <c r="A103" s="1534"/>
      <c r="B103" s="1179" t="s">
        <v>1578</v>
      </c>
      <c r="C103" s="1180" t="s">
        <v>1041</v>
      </c>
      <c r="D103" s="1181"/>
      <c r="E103" s="1182"/>
      <c r="F103" s="1182"/>
      <c r="G103" s="1182"/>
      <c r="H103" s="1178">
        <f>22420.07+(3*20759.72)</f>
        <v>84699.23000000001</v>
      </c>
      <c r="I103" s="1178">
        <f>+H103</f>
        <v>84699.23000000001</v>
      </c>
      <c r="J103" s="1178">
        <f>+H103</f>
        <v>84699.23000000001</v>
      </c>
      <c r="K103" s="534"/>
      <c r="L103" s="292"/>
      <c r="M103" s="293"/>
    </row>
    <row r="104" spans="1:11" ht="38.25">
      <c r="A104" s="1529">
        <v>7</v>
      </c>
      <c r="B104" s="1090"/>
      <c r="C104" s="1086" t="s">
        <v>1042</v>
      </c>
      <c r="D104" s="1173"/>
      <c r="E104" s="1173"/>
      <c r="F104" s="1183"/>
      <c r="G104" s="1183"/>
      <c r="H104" s="1183"/>
      <c r="I104" s="1183"/>
      <c r="J104" s="1184"/>
      <c r="K104" s="539"/>
    </row>
    <row r="105" spans="1:12" ht="12.75">
      <c r="A105" s="1530"/>
      <c r="B105" s="1175" t="s">
        <v>71</v>
      </c>
      <c r="C105" s="1176" t="s">
        <v>1043</v>
      </c>
      <c r="D105" s="1136"/>
      <c r="E105" s="1177"/>
      <c r="F105" s="1177"/>
      <c r="G105" s="1177"/>
      <c r="H105" s="1178">
        <f>1.1*1.1*1643*1.2*1.1*1.1797*1.1402*0.9368*0.87</f>
        <v>2876.839384857665</v>
      </c>
      <c r="I105" s="1178">
        <f>1.1*1.1*4713*1.2*1.1*1.1797*1.1402*0.9368*0.87</f>
        <v>8252.309203185743</v>
      </c>
      <c r="J105" s="1178">
        <f>1.1*7379*1.2*1.1*1.1797*1.1402*0.9368*0.87</f>
        <v>11745.807459118414</v>
      </c>
      <c r="K105" s="534"/>
      <c r="L105" s="281"/>
    </row>
    <row r="106" spans="1:12" ht="12.75">
      <c r="A106" s="1531"/>
      <c r="B106" s="239" t="s">
        <v>1578</v>
      </c>
      <c r="C106" s="900" t="s">
        <v>1044</v>
      </c>
      <c r="D106" s="1159"/>
      <c r="E106" s="1148"/>
      <c r="F106" s="1148"/>
      <c r="G106" s="1148"/>
      <c r="H106" s="1160">
        <f>1.1*1.1*3842*1.2*1.1*1.1797*1.1402*0.9368*0.87</f>
        <v>6727.216626063998</v>
      </c>
      <c r="I106" s="1160">
        <f>1.1*1.1*4800*1.2*1.1*1.1797*1.1402*0.9368*0.87</f>
        <v>8404.643364161167</v>
      </c>
      <c r="J106" s="1160">
        <f>1.1*5999*1.2*1.1*1.1797*1.1402*0.9368*0.87</f>
        <v>9549.139307121746</v>
      </c>
      <c r="K106" s="536"/>
      <c r="L106" s="281"/>
    </row>
    <row r="107" spans="1:13" ht="13.5">
      <c r="A107" s="245">
        <v>8</v>
      </c>
      <c r="B107" s="779"/>
      <c r="C107" s="1185" t="s">
        <v>1045</v>
      </c>
      <c r="D107" s="1140"/>
      <c r="E107" s="1137"/>
      <c r="F107" s="1137"/>
      <c r="G107" s="1137"/>
      <c r="H107" s="1087">
        <f>H90+H91+H92+H93+H94+H95+H96+H97+H98+H99+H100+H101+H105+H106</f>
        <v>2893991.576466217</v>
      </c>
      <c r="I107" s="1087">
        <f>I90+I91+I92+I93+I94+I95+I96+I97+I98+I99+I100+I101+I105+I106</f>
        <v>4572396.163022646</v>
      </c>
      <c r="J107" s="1087">
        <f>J90+J91+J92+J93+J94+J95+J96+J97+J98+J99+J100+J101+J105+J106</f>
        <v>5527838.367221538</v>
      </c>
      <c r="K107" s="540"/>
      <c r="L107" s="1345"/>
      <c r="M107" s="281"/>
    </row>
    <row r="108" spans="1:12" ht="27.75" customHeight="1">
      <c r="A108" s="1167">
        <v>9</v>
      </c>
      <c r="B108" s="1073"/>
      <c r="C108" s="1157" t="s">
        <v>1054</v>
      </c>
      <c r="D108" s="1186"/>
      <c r="E108" s="1187"/>
      <c r="F108" s="969">
        <v>0.11</v>
      </c>
      <c r="G108" s="1065"/>
      <c r="H108" s="240">
        <f>H90*F108</f>
        <v>248904.60474</v>
      </c>
      <c r="I108" s="240">
        <f>I90*F108</f>
        <v>416743.5947400001</v>
      </c>
      <c r="J108" s="240">
        <f>J90*F108</f>
        <v>511839.03474</v>
      </c>
      <c r="K108" s="541"/>
      <c r="L108" s="1345"/>
    </row>
    <row r="109" spans="1:11" ht="13.5">
      <c r="A109" s="1188">
        <v>10</v>
      </c>
      <c r="B109" s="1073"/>
      <c r="C109" s="1083" t="s">
        <v>1317</v>
      </c>
      <c r="D109" s="1189"/>
      <c r="E109" s="1190"/>
      <c r="F109" s="1191"/>
      <c r="G109" s="1191"/>
      <c r="H109" s="1192">
        <f>H107+H108</f>
        <v>3142896.181206217</v>
      </c>
      <c r="I109" s="1192">
        <f>I107+I108</f>
        <v>4989139.757762646</v>
      </c>
      <c r="J109" s="1192">
        <f>J107+J108</f>
        <v>6039677.401961538</v>
      </c>
      <c r="K109" s="542"/>
    </row>
    <row r="110" spans="1:12" ht="13.5">
      <c r="A110" s="1193">
        <v>11</v>
      </c>
      <c r="B110" s="1073"/>
      <c r="C110" s="1194" t="s">
        <v>1046</v>
      </c>
      <c r="D110" s="1189"/>
      <c r="E110" s="1190"/>
      <c r="F110" s="1190"/>
      <c r="G110" s="1190"/>
      <c r="H110" s="1195">
        <f>ROUND(H109,0)</f>
        <v>3142896</v>
      </c>
      <c r="I110" s="1195">
        <f>ROUND(I109,0)</f>
        <v>4989140</v>
      </c>
      <c r="J110" s="1195">
        <f>ROUND(J109,0)</f>
        <v>6039677</v>
      </c>
      <c r="K110" s="543"/>
      <c r="L110" s="281"/>
    </row>
    <row r="111" spans="3:11" ht="12.75">
      <c r="C111" s="294"/>
      <c r="D111" s="295"/>
      <c r="E111" s="295"/>
      <c r="F111" s="295"/>
      <c r="G111" s="295"/>
      <c r="H111" s="295"/>
      <c r="I111" s="295"/>
      <c r="J111" s="295"/>
      <c r="K111" s="530"/>
    </row>
    <row r="112" spans="1:11" ht="12.75" customHeight="1">
      <c r="A112" s="296" t="s">
        <v>129</v>
      </c>
      <c r="B112" s="283"/>
      <c r="C112" s="1535" t="s">
        <v>1237</v>
      </c>
      <c r="D112" s="1535"/>
      <c r="E112" s="1535"/>
      <c r="F112" s="1535"/>
      <c r="G112" s="1535"/>
      <c r="H112" s="1535"/>
      <c r="I112" s="1535"/>
      <c r="J112" s="1535"/>
      <c r="K112" s="544"/>
    </row>
    <row r="113" spans="1:13" ht="15.75" customHeight="1">
      <c r="A113" s="283"/>
      <c r="C113" s="1535" t="s">
        <v>1484</v>
      </c>
      <c r="D113" s="1535"/>
      <c r="E113" s="1535"/>
      <c r="F113" s="1535"/>
      <c r="G113" s="1535"/>
      <c r="H113" s="1535"/>
      <c r="I113" s="1535"/>
      <c r="J113" s="1535"/>
      <c r="K113" s="544"/>
      <c r="L113" s="284"/>
      <c r="M113" s="284"/>
    </row>
    <row r="114" spans="1:13" ht="15.75" customHeight="1">
      <c r="A114" s="283"/>
      <c r="C114" s="544"/>
      <c r="D114" s="544"/>
      <c r="E114" s="544"/>
      <c r="F114" s="544"/>
      <c r="G114" s="544"/>
      <c r="H114" s="544"/>
      <c r="I114" s="544"/>
      <c r="J114" s="544"/>
      <c r="K114" s="544"/>
      <c r="L114" s="284"/>
      <c r="M114" s="284"/>
    </row>
    <row r="115" spans="1:13" ht="15.75" customHeight="1">
      <c r="A115" s="283"/>
      <c r="C115" s="544"/>
      <c r="D115" s="544"/>
      <c r="E115" s="544"/>
      <c r="F115" s="544"/>
      <c r="G115" s="544"/>
      <c r="H115" s="774"/>
      <c r="I115" s="774"/>
      <c r="J115" s="774"/>
      <c r="K115" s="544"/>
      <c r="L115" s="284"/>
      <c r="M115" s="284"/>
    </row>
    <row r="116" spans="1:13" ht="15.75" customHeight="1">
      <c r="A116" s="283"/>
      <c r="C116" s="544"/>
      <c r="D116" s="544"/>
      <c r="E116" s="544"/>
      <c r="F116" s="544"/>
      <c r="G116" s="544"/>
      <c r="H116" s="544"/>
      <c r="I116" s="544"/>
      <c r="J116" s="544"/>
      <c r="K116" s="544"/>
      <c r="L116" s="284"/>
      <c r="M116" s="284"/>
    </row>
    <row r="117" spans="1:13" ht="15.75" customHeight="1">
      <c r="A117" s="283"/>
      <c r="C117" s="544"/>
      <c r="D117" s="544"/>
      <c r="E117" s="544"/>
      <c r="F117" s="544"/>
      <c r="G117" s="544"/>
      <c r="H117" s="1346"/>
      <c r="I117" s="1346"/>
      <c r="J117" s="1346"/>
      <c r="K117" s="544"/>
      <c r="L117" s="284"/>
      <c r="M117" s="284"/>
    </row>
    <row r="118" spans="1:13" ht="15.75" customHeight="1">
      <c r="A118" s="283"/>
      <c r="C118" s="544"/>
      <c r="D118" s="544"/>
      <c r="E118" s="544"/>
      <c r="F118" s="544"/>
      <c r="G118" s="544"/>
      <c r="H118" s="544"/>
      <c r="I118" s="544"/>
      <c r="J118" s="544"/>
      <c r="K118" s="544"/>
      <c r="L118" s="284"/>
      <c r="M118" s="284"/>
    </row>
    <row r="119" spans="1:13" ht="15.75" customHeight="1">
      <c r="A119" s="283"/>
      <c r="C119" s="544"/>
      <c r="D119" s="544"/>
      <c r="E119" s="544"/>
      <c r="F119" s="544"/>
      <c r="G119" s="544"/>
      <c r="H119" s="544"/>
      <c r="I119" s="544"/>
      <c r="J119" s="544"/>
      <c r="K119" s="544"/>
      <c r="L119" s="284"/>
      <c r="M119" s="284"/>
    </row>
    <row r="120" spans="1:13" ht="15.75" customHeight="1">
      <c r="A120" s="283"/>
      <c r="C120" s="544"/>
      <c r="D120" s="544"/>
      <c r="E120" s="544"/>
      <c r="F120" s="544"/>
      <c r="G120" s="544"/>
      <c r="H120" s="544"/>
      <c r="I120" s="544"/>
      <c r="J120" s="544"/>
      <c r="K120" s="544"/>
      <c r="L120" s="284"/>
      <c r="M120" s="284"/>
    </row>
    <row r="121" spans="1:13" ht="15.75" customHeight="1">
      <c r="A121" s="283"/>
      <c r="C121" s="544"/>
      <c r="D121" s="544"/>
      <c r="E121" s="544"/>
      <c r="F121" s="544"/>
      <c r="G121" s="544"/>
      <c r="H121" s="544"/>
      <c r="I121" s="544"/>
      <c r="J121" s="544"/>
      <c r="K121" s="544"/>
      <c r="L121" s="284"/>
      <c r="M121" s="284"/>
    </row>
    <row r="122" spans="1:13" ht="15.75" customHeight="1">
      <c r="A122" s="283"/>
      <c r="C122" s="544"/>
      <c r="D122" s="544"/>
      <c r="E122" s="544"/>
      <c r="F122" s="544"/>
      <c r="G122" s="544"/>
      <c r="H122" s="544"/>
      <c r="I122" s="544"/>
      <c r="J122" s="544"/>
      <c r="K122" s="544"/>
      <c r="L122" s="284"/>
      <c r="M122" s="284"/>
    </row>
    <row r="123" spans="1:13" ht="15.75" customHeight="1">
      <c r="A123" s="283"/>
      <c r="C123" s="544"/>
      <c r="D123" s="544"/>
      <c r="E123" s="544"/>
      <c r="F123" s="544"/>
      <c r="G123" s="544"/>
      <c r="H123" s="544"/>
      <c r="I123" s="544"/>
      <c r="J123" s="544"/>
      <c r="K123" s="544"/>
      <c r="L123" s="284"/>
      <c r="M123" s="284"/>
    </row>
    <row r="124" spans="1:13" ht="15.75" customHeight="1">
      <c r="A124" s="283"/>
      <c r="C124" s="544"/>
      <c r="D124" s="544"/>
      <c r="E124" s="544"/>
      <c r="F124" s="544"/>
      <c r="G124" s="544"/>
      <c r="H124" s="544"/>
      <c r="I124" s="544"/>
      <c r="J124" s="544"/>
      <c r="K124" s="544"/>
      <c r="L124" s="284"/>
      <c r="M124" s="284"/>
    </row>
    <row r="125" spans="1:13" ht="15.75" customHeight="1">
      <c r="A125" s="283"/>
      <c r="C125" s="544"/>
      <c r="D125" s="544"/>
      <c r="E125" s="544"/>
      <c r="F125" s="544"/>
      <c r="G125" s="544"/>
      <c r="H125" s="544"/>
      <c r="I125" s="544"/>
      <c r="J125" s="544"/>
      <c r="K125" s="544"/>
      <c r="L125" s="284"/>
      <c r="M125" s="284"/>
    </row>
    <row r="126" spans="1:13" ht="15.75" customHeight="1">
      <c r="A126" s="283"/>
      <c r="C126" s="544"/>
      <c r="D126" s="544"/>
      <c r="E126" s="544"/>
      <c r="F126" s="544"/>
      <c r="G126" s="544"/>
      <c r="H126" s="544"/>
      <c r="I126" s="544"/>
      <c r="J126" s="544"/>
      <c r="K126" s="544"/>
      <c r="L126" s="284"/>
      <c r="M126" s="284"/>
    </row>
    <row r="127" spans="1:13" ht="15.75" customHeight="1">
      <c r="A127" s="283"/>
      <c r="C127" s="544"/>
      <c r="D127" s="544"/>
      <c r="E127" s="544"/>
      <c r="F127" s="544"/>
      <c r="G127" s="544"/>
      <c r="H127" s="544"/>
      <c r="I127" s="544"/>
      <c r="J127" s="544"/>
      <c r="K127" s="544"/>
      <c r="L127" s="284"/>
      <c r="M127" s="284"/>
    </row>
    <row r="128" spans="1:13" ht="15.75" customHeight="1">
      <c r="A128" s="283"/>
      <c r="C128" s="544"/>
      <c r="D128" s="544"/>
      <c r="E128" s="544"/>
      <c r="F128" s="544"/>
      <c r="G128" s="544"/>
      <c r="H128" s="544"/>
      <c r="I128" s="544"/>
      <c r="J128" s="544"/>
      <c r="K128" s="544"/>
      <c r="L128" s="284"/>
      <c r="M128" s="284"/>
    </row>
    <row r="129" spans="1:13" ht="15.75" customHeight="1">
      <c r="A129" s="283"/>
      <c r="C129" s="544"/>
      <c r="D129" s="544"/>
      <c r="E129" s="544"/>
      <c r="F129" s="544"/>
      <c r="G129" s="544"/>
      <c r="H129" s="544"/>
      <c r="I129" s="544"/>
      <c r="J129" s="544"/>
      <c r="K129" s="544"/>
      <c r="L129" s="284"/>
      <c r="M129" s="284"/>
    </row>
    <row r="130" spans="1:13" ht="15.75" customHeight="1">
      <c r="A130" s="283"/>
      <c r="C130" s="544"/>
      <c r="D130" s="544"/>
      <c r="E130" s="544"/>
      <c r="F130" s="544"/>
      <c r="G130" s="544"/>
      <c r="H130" s="544"/>
      <c r="I130" s="544"/>
      <c r="J130" s="544"/>
      <c r="K130" s="544"/>
      <c r="L130" s="284"/>
      <c r="M130" s="284"/>
    </row>
    <row r="131" spans="1:13" ht="15.75" customHeight="1">
      <c r="A131" s="283"/>
      <c r="C131" s="544"/>
      <c r="D131" s="544"/>
      <c r="E131" s="544"/>
      <c r="F131" s="544"/>
      <c r="G131" s="544"/>
      <c r="H131" s="544"/>
      <c r="I131" s="544"/>
      <c r="J131" s="544"/>
      <c r="K131" s="544"/>
      <c r="L131" s="284"/>
      <c r="M131" s="284"/>
    </row>
    <row r="132" spans="1:13" ht="15.75" customHeight="1">
      <c r="A132" s="283"/>
      <c r="C132" s="544"/>
      <c r="D132" s="544"/>
      <c r="E132" s="544"/>
      <c r="F132" s="544"/>
      <c r="G132" s="544"/>
      <c r="H132" s="544"/>
      <c r="I132" s="544"/>
      <c r="J132" s="544"/>
      <c r="K132" s="544"/>
      <c r="L132" s="284"/>
      <c r="M132" s="284"/>
    </row>
    <row r="133" spans="1:13" ht="15.75" customHeight="1">
      <c r="A133" s="283"/>
      <c r="C133" s="544"/>
      <c r="D133" s="544"/>
      <c r="E133" s="544"/>
      <c r="F133" s="544"/>
      <c r="G133" s="544"/>
      <c r="H133" s="544"/>
      <c r="I133" s="544"/>
      <c r="J133" s="544"/>
      <c r="K133" s="544"/>
      <c r="L133" s="284"/>
      <c r="M133" s="284"/>
    </row>
    <row r="134" spans="1:13" ht="15.75" customHeight="1">
      <c r="A134" s="283"/>
      <c r="C134" s="544"/>
      <c r="D134" s="544"/>
      <c r="E134" s="544"/>
      <c r="F134" s="544"/>
      <c r="G134" s="544"/>
      <c r="H134" s="544"/>
      <c r="I134" s="544"/>
      <c r="J134" s="544"/>
      <c r="K134" s="544"/>
      <c r="L134" s="284"/>
      <c r="M134" s="284"/>
    </row>
    <row r="135" spans="1:13" ht="15.75" customHeight="1">
      <c r="A135" s="283"/>
      <c r="C135" s="544"/>
      <c r="D135" s="544"/>
      <c r="E135" s="544"/>
      <c r="F135" s="544"/>
      <c r="G135" s="544"/>
      <c r="H135" s="544"/>
      <c r="I135" s="544"/>
      <c r="J135" s="544"/>
      <c r="K135" s="544"/>
      <c r="L135" s="284"/>
      <c r="M135" s="284"/>
    </row>
    <row r="136" spans="1:13" ht="15.75" customHeight="1">
      <c r="A136" s="283"/>
      <c r="C136" s="544"/>
      <c r="D136" s="544"/>
      <c r="E136" s="544"/>
      <c r="F136" s="544"/>
      <c r="G136" s="544"/>
      <c r="H136" s="544"/>
      <c r="I136" s="544"/>
      <c r="J136" s="544"/>
      <c r="K136" s="544"/>
      <c r="L136" s="284"/>
      <c r="M136" s="284"/>
    </row>
    <row r="137" spans="1:13" ht="15.75" customHeight="1">
      <c r="A137" s="283"/>
      <c r="C137" s="544"/>
      <c r="D137" s="544"/>
      <c r="E137" s="544"/>
      <c r="F137" s="544"/>
      <c r="G137" s="544"/>
      <c r="H137" s="544"/>
      <c r="I137" s="544"/>
      <c r="J137" s="544"/>
      <c r="K137" s="544"/>
      <c r="L137" s="284"/>
      <c r="M137" s="284"/>
    </row>
    <row r="138" spans="1:13" ht="15.75" customHeight="1">
      <c r="A138" s="283"/>
      <c r="C138" s="544"/>
      <c r="D138" s="544"/>
      <c r="E138" s="544"/>
      <c r="F138" s="544"/>
      <c r="G138" s="544"/>
      <c r="H138" s="544"/>
      <c r="I138" s="544"/>
      <c r="J138" s="544"/>
      <c r="K138" s="544"/>
      <c r="L138" s="284"/>
      <c r="M138" s="284"/>
    </row>
    <row r="139" spans="1:13" ht="15.75" customHeight="1">
      <c r="A139" s="283"/>
      <c r="C139" s="544"/>
      <c r="D139" s="544"/>
      <c r="E139" s="544"/>
      <c r="F139" s="544"/>
      <c r="G139" s="544"/>
      <c r="H139" s="544"/>
      <c r="I139" s="544"/>
      <c r="J139" s="544"/>
      <c r="K139" s="544"/>
      <c r="L139" s="284"/>
      <c r="M139" s="284"/>
    </row>
    <row r="140" spans="1:13" ht="15.75" customHeight="1">
      <c r="A140" s="283"/>
      <c r="C140" s="544"/>
      <c r="D140" s="544"/>
      <c r="E140" s="544"/>
      <c r="F140" s="544"/>
      <c r="G140" s="544"/>
      <c r="H140" s="544"/>
      <c r="I140" s="544"/>
      <c r="J140" s="544"/>
      <c r="K140" s="544"/>
      <c r="L140" s="284"/>
      <c r="M140" s="284"/>
    </row>
    <row r="141" spans="1:11" ht="14.25">
      <c r="A141" s="107"/>
      <c r="B141" s="107"/>
      <c r="C141" s="107"/>
      <c r="D141" s="107"/>
      <c r="E141" s="107"/>
      <c r="F141" s="107"/>
      <c r="G141" s="107"/>
      <c r="H141" s="594"/>
      <c r="I141" s="594"/>
      <c r="J141" s="594"/>
      <c r="K141" s="107"/>
    </row>
    <row r="142" spans="1:11" ht="12.75">
      <c r="A142" s="107"/>
      <c r="B142" s="107"/>
      <c r="C142" s="107"/>
      <c r="D142" s="107"/>
      <c r="E142" s="107"/>
      <c r="F142" s="107"/>
      <c r="G142" s="107"/>
      <c r="H142" s="107"/>
      <c r="I142" s="107"/>
      <c r="J142" s="107"/>
      <c r="K142" s="107"/>
    </row>
    <row r="143" spans="1:11" ht="14.25">
      <c r="A143" s="107"/>
      <c r="B143" s="107"/>
      <c r="C143" s="107"/>
      <c r="D143" s="107"/>
      <c r="E143" s="107"/>
      <c r="F143" s="107"/>
      <c r="G143" s="107"/>
      <c r="H143" s="593"/>
      <c r="I143" s="593"/>
      <c r="J143" s="593"/>
      <c r="K143" s="107"/>
    </row>
    <row r="144" spans="1:11" ht="12.75">
      <c r="A144" s="107"/>
      <c r="B144" s="107"/>
      <c r="C144" s="107"/>
      <c r="D144" s="107"/>
      <c r="E144" s="107"/>
      <c r="F144" s="107"/>
      <c r="G144" s="107"/>
      <c r="H144" s="107"/>
      <c r="I144" s="107"/>
      <c r="J144" s="107"/>
      <c r="K144" s="107"/>
    </row>
    <row r="145" spans="1:11" ht="12.75">
      <c r="A145" s="107"/>
      <c r="B145" s="107"/>
      <c r="C145" s="107"/>
      <c r="D145" s="107"/>
      <c r="E145" s="107"/>
      <c r="F145" s="107"/>
      <c r="G145" s="107"/>
      <c r="H145" s="107"/>
      <c r="I145" s="107"/>
      <c r="J145" s="107"/>
      <c r="K145" s="107"/>
    </row>
    <row r="146" spans="1:11" ht="12.75">
      <c r="A146" s="107"/>
      <c r="B146" s="107"/>
      <c r="C146" s="107"/>
      <c r="D146" s="107"/>
      <c r="E146" s="107"/>
      <c r="F146" s="107"/>
      <c r="G146" s="107"/>
      <c r="H146" s="107"/>
      <c r="I146" s="107"/>
      <c r="J146" s="107"/>
      <c r="K146" s="107"/>
    </row>
    <row r="147" spans="1:11" ht="12.75">
      <c r="A147" s="107"/>
      <c r="B147" s="107"/>
      <c r="C147" s="107"/>
      <c r="D147" s="107"/>
      <c r="E147" s="107"/>
      <c r="F147" s="107"/>
      <c r="G147" s="107"/>
      <c r="H147" s="107"/>
      <c r="I147" s="107"/>
      <c r="J147" s="107"/>
      <c r="K147" s="107"/>
    </row>
    <row r="148" spans="1:11" ht="12.75">
      <c r="A148" s="107"/>
      <c r="B148" s="107"/>
      <c r="C148" s="107"/>
      <c r="D148" s="107"/>
      <c r="E148" s="107"/>
      <c r="F148" s="107"/>
      <c r="G148" s="107"/>
      <c r="H148" s="297"/>
      <c r="I148" s="107"/>
      <c r="J148" s="107"/>
      <c r="K148" s="107"/>
    </row>
    <row r="154" spans="3:5" ht="14.25">
      <c r="C154" s="161"/>
      <c r="D154" s="590"/>
      <c r="E154" s="591"/>
    </row>
    <row r="155" spans="3:5" ht="15.75">
      <c r="C155" s="444"/>
      <c r="D155" s="590"/>
      <c r="E155" s="591"/>
    </row>
  </sheetData>
  <sheetProtection/>
  <mergeCells count="32">
    <mergeCell ref="D1:G1"/>
    <mergeCell ref="D2:G2"/>
    <mergeCell ref="I2:J2"/>
    <mergeCell ref="C3:H3"/>
    <mergeCell ref="G5:G6"/>
    <mergeCell ref="H5:J5"/>
    <mergeCell ref="A5:A6"/>
    <mergeCell ref="B5:B6"/>
    <mergeCell ref="C5:C6"/>
    <mergeCell ref="D5:D6"/>
    <mergeCell ref="E5:E6"/>
    <mergeCell ref="F5:F6"/>
    <mergeCell ref="B7:C7"/>
    <mergeCell ref="A8:A38"/>
    <mergeCell ref="B9:B12"/>
    <mergeCell ref="B13:B16"/>
    <mergeCell ref="B17:B20"/>
    <mergeCell ref="B21:B24"/>
    <mergeCell ref="A39:A63"/>
    <mergeCell ref="B41:B43"/>
    <mergeCell ref="B44:B49"/>
    <mergeCell ref="B56:B62"/>
    <mergeCell ref="A64:A89"/>
    <mergeCell ref="B70:B73"/>
    <mergeCell ref="B74:B82"/>
    <mergeCell ref="B83:B89"/>
    <mergeCell ref="A91:A100"/>
    <mergeCell ref="B92:B100"/>
    <mergeCell ref="A101:A103"/>
    <mergeCell ref="A104:A106"/>
    <mergeCell ref="C112:J112"/>
    <mergeCell ref="C113:J113"/>
  </mergeCells>
  <printOptions/>
  <pageMargins left="0.92" right="0.15" top="0.75" bottom="0.32" header="0.5" footer="0.16"/>
  <pageSetup horizontalDpi="600" verticalDpi="600" orientation="landscape" scale="93" r:id="rId2"/>
  <drawing r:id="rId1"/>
</worksheet>
</file>

<file path=xl/worksheets/sheet2.xml><?xml version="1.0" encoding="utf-8"?>
<worksheet xmlns="http://schemas.openxmlformats.org/spreadsheetml/2006/main" xmlns:r="http://schemas.openxmlformats.org/officeDocument/2006/relationships">
  <dimension ref="A1:R678"/>
  <sheetViews>
    <sheetView zoomScalePageLayoutView="0" workbookViewId="0" topLeftCell="A1">
      <pane xSplit="2" ySplit="3" topLeftCell="C4" activePane="bottomRight" state="frozen"/>
      <selection pane="topLeft" activeCell="A1" sqref="A1"/>
      <selection pane="topRight" activeCell="C1" sqref="C1"/>
      <selection pane="bottomLeft" activeCell="A2" sqref="A2"/>
      <selection pane="bottomRight" activeCell="G571" sqref="G571"/>
    </sheetView>
  </sheetViews>
  <sheetFormatPr defaultColWidth="9.140625" defaultRowHeight="12.75"/>
  <cols>
    <col min="1" max="1" width="13.421875" style="2" customWidth="1"/>
    <col min="2" max="2" width="37.28125" style="2" customWidth="1"/>
    <col min="3" max="3" width="9.28125" style="2" bestFit="1" customWidth="1"/>
    <col min="4" max="4" width="15.8515625" style="2" customWidth="1"/>
    <col min="5" max="5" width="48.421875" style="2" bestFit="1" customWidth="1"/>
    <col min="6" max="6" width="15.00390625" style="2" customWidth="1"/>
    <col min="7" max="7" width="12.28125" style="2" customWidth="1"/>
    <col min="8" max="8" width="9.140625" style="2" customWidth="1"/>
    <col min="9" max="9" width="13.00390625" style="2" customWidth="1"/>
    <col min="10" max="16384" width="9.140625" style="2" customWidth="1"/>
  </cols>
  <sheetData>
    <row r="1" spans="2:3" ht="15.75">
      <c r="B1" s="444" t="s">
        <v>2084</v>
      </c>
      <c r="C1" s="513"/>
    </row>
    <row r="3" spans="1:5" s="151" customFormat="1" ht="25.5">
      <c r="A3" s="557" t="s">
        <v>2123</v>
      </c>
      <c r="B3" s="557" t="s">
        <v>2124</v>
      </c>
      <c r="C3" s="557" t="s">
        <v>2125</v>
      </c>
      <c r="D3" s="390" t="s">
        <v>2083</v>
      </c>
      <c r="E3" s="557" t="s">
        <v>431</v>
      </c>
    </row>
    <row r="4" spans="1:5" ht="12.75">
      <c r="A4" s="391">
        <v>7130200201</v>
      </c>
      <c r="B4" s="387" t="s">
        <v>1073</v>
      </c>
      <c r="C4" s="385" t="s">
        <v>1571</v>
      </c>
      <c r="D4" s="388">
        <v>3940</v>
      </c>
      <c r="E4" s="779"/>
    </row>
    <row r="5" spans="1:5" ht="12.75">
      <c r="A5" s="391">
        <v>7130200202</v>
      </c>
      <c r="B5" s="387" t="s">
        <v>1074</v>
      </c>
      <c r="C5" s="385" t="s">
        <v>1571</v>
      </c>
      <c r="D5" s="388">
        <v>3079</v>
      </c>
      <c r="E5" s="779"/>
    </row>
    <row r="6" spans="1:7" ht="25.5">
      <c r="A6" s="393">
        <v>7130200204</v>
      </c>
      <c r="B6" s="392" t="s">
        <v>1241</v>
      </c>
      <c r="C6" s="377" t="s">
        <v>1756</v>
      </c>
      <c r="D6" s="396">
        <v>157</v>
      </c>
      <c r="E6" s="378" t="s">
        <v>711</v>
      </c>
      <c r="G6" s="97"/>
    </row>
    <row r="7" spans="1:5" ht="16.5" customHeight="1">
      <c r="A7" s="393">
        <v>7130200401</v>
      </c>
      <c r="B7" s="392" t="s">
        <v>1424</v>
      </c>
      <c r="C7" s="377" t="s">
        <v>1425</v>
      </c>
      <c r="D7" s="396">
        <v>245</v>
      </c>
      <c r="E7" s="378" t="s">
        <v>1622</v>
      </c>
    </row>
    <row r="8" spans="1:7" ht="18.75" customHeight="1">
      <c r="A8" s="393">
        <v>7130201343</v>
      </c>
      <c r="B8" s="392" t="s">
        <v>1242</v>
      </c>
      <c r="C8" s="385" t="s">
        <v>1243</v>
      </c>
      <c r="D8" s="396">
        <v>10423</v>
      </c>
      <c r="E8" s="378"/>
      <c r="G8" s="97"/>
    </row>
    <row r="9" spans="1:5" ht="15" customHeight="1">
      <c r="A9" s="389">
        <v>7130210809</v>
      </c>
      <c r="B9" s="387" t="s">
        <v>1909</v>
      </c>
      <c r="C9" s="385" t="s">
        <v>1338</v>
      </c>
      <c r="D9" s="388">
        <v>297</v>
      </c>
      <c r="E9" s="378" t="s">
        <v>712</v>
      </c>
    </row>
    <row r="10" spans="1:7" ht="15" customHeight="1">
      <c r="A10" s="393">
        <v>7130211121</v>
      </c>
      <c r="B10" s="392" t="s">
        <v>2232</v>
      </c>
      <c r="C10" s="377" t="s">
        <v>1573</v>
      </c>
      <c r="D10" s="396">
        <v>223</v>
      </c>
      <c r="E10" s="378"/>
      <c r="G10" s="97"/>
    </row>
    <row r="11" spans="1:5" ht="15" customHeight="1">
      <c r="A11" s="389">
        <v>7130211158</v>
      </c>
      <c r="B11" s="387" t="s">
        <v>1435</v>
      </c>
      <c r="C11" s="385" t="s">
        <v>1338</v>
      </c>
      <c r="D11" s="388">
        <v>133</v>
      </c>
      <c r="E11" s="378" t="s">
        <v>713</v>
      </c>
    </row>
    <row r="12" spans="1:5" ht="25.5">
      <c r="A12" s="377">
        <v>7130300025</v>
      </c>
      <c r="B12" s="392" t="s">
        <v>1703</v>
      </c>
      <c r="C12" s="388" t="s">
        <v>421</v>
      </c>
      <c r="D12" s="388">
        <v>202527</v>
      </c>
      <c r="E12" s="378" t="s">
        <v>714</v>
      </c>
    </row>
    <row r="13" spans="1:5" ht="12.75">
      <c r="A13" s="381">
        <v>7130310007</v>
      </c>
      <c r="B13" s="380" t="s">
        <v>416</v>
      </c>
      <c r="C13" s="381" t="s">
        <v>1099</v>
      </c>
      <c r="D13" s="383">
        <v>39435</v>
      </c>
      <c r="E13" s="378" t="s">
        <v>715</v>
      </c>
    </row>
    <row r="14" spans="1:5" ht="15" customHeight="1">
      <c r="A14" s="381">
        <v>7130310008</v>
      </c>
      <c r="B14" s="380" t="s">
        <v>417</v>
      </c>
      <c r="C14" s="381" t="s">
        <v>1099</v>
      </c>
      <c r="D14" s="383">
        <v>75161</v>
      </c>
      <c r="E14" s="378" t="s">
        <v>2199</v>
      </c>
    </row>
    <row r="15" spans="1:5" ht="16.5" customHeight="1">
      <c r="A15" s="384">
        <v>7130310020</v>
      </c>
      <c r="B15" s="399" t="s">
        <v>1278</v>
      </c>
      <c r="C15" s="379" t="s">
        <v>421</v>
      </c>
      <c r="D15" s="383">
        <v>2066592</v>
      </c>
      <c r="E15" s="378" t="s">
        <v>432</v>
      </c>
    </row>
    <row r="16" spans="1:5" ht="17.25" customHeight="1">
      <c r="A16" s="381">
        <v>7130310021</v>
      </c>
      <c r="B16" s="380" t="s">
        <v>414</v>
      </c>
      <c r="C16" s="381" t="s">
        <v>1099</v>
      </c>
      <c r="D16" s="383">
        <v>24976</v>
      </c>
      <c r="E16" s="378" t="s">
        <v>2200</v>
      </c>
    </row>
    <row r="17" spans="1:5" ht="12.75">
      <c r="A17" s="381">
        <v>7130310022</v>
      </c>
      <c r="B17" s="380" t="s">
        <v>415</v>
      </c>
      <c r="C17" s="381" t="s">
        <v>1099</v>
      </c>
      <c r="D17" s="383">
        <v>31637</v>
      </c>
      <c r="E17" s="378" t="s">
        <v>636</v>
      </c>
    </row>
    <row r="18" spans="1:5" ht="27.75" customHeight="1">
      <c r="A18" s="385">
        <v>7130310031</v>
      </c>
      <c r="B18" s="392" t="s">
        <v>413</v>
      </c>
      <c r="C18" s="388" t="s">
        <v>421</v>
      </c>
      <c r="D18" s="388">
        <v>54240</v>
      </c>
      <c r="E18" s="378" t="s">
        <v>637</v>
      </c>
    </row>
    <row r="19" spans="1:5" ht="29.25" customHeight="1">
      <c r="A19" s="385">
        <v>7130310032</v>
      </c>
      <c r="B19" s="392" t="s">
        <v>762</v>
      </c>
      <c r="C19" s="388" t="s">
        <v>421</v>
      </c>
      <c r="D19" s="388">
        <v>69001</v>
      </c>
      <c r="E19" s="378" t="s">
        <v>638</v>
      </c>
    </row>
    <row r="20" spans="1:5" ht="30.75" customHeight="1">
      <c r="A20" s="385">
        <v>7130310033</v>
      </c>
      <c r="B20" s="392" t="s">
        <v>763</v>
      </c>
      <c r="C20" s="388" t="s">
        <v>421</v>
      </c>
      <c r="D20" s="388">
        <v>85822</v>
      </c>
      <c r="E20" s="378" t="s">
        <v>639</v>
      </c>
    </row>
    <row r="21" spans="1:7" ht="12.75">
      <c r="A21" s="397">
        <v>7130310038</v>
      </c>
      <c r="B21" s="387" t="s">
        <v>1107</v>
      </c>
      <c r="C21" s="385" t="s">
        <v>1108</v>
      </c>
      <c r="D21" s="388">
        <v>6</v>
      </c>
      <c r="E21" s="378" t="s">
        <v>640</v>
      </c>
      <c r="G21" s="97"/>
    </row>
    <row r="22" spans="1:5" ht="12.75">
      <c r="A22" s="397">
        <v>7130310039</v>
      </c>
      <c r="B22" s="387" t="s">
        <v>1109</v>
      </c>
      <c r="C22" s="385" t="s">
        <v>1108</v>
      </c>
      <c r="D22" s="388">
        <v>26</v>
      </c>
      <c r="E22" s="378" t="s">
        <v>641</v>
      </c>
    </row>
    <row r="23" spans="1:9" ht="14.25" customHeight="1">
      <c r="A23" s="391">
        <v>7130310040</v>
      </c>
      <c r="B23" s="387" t="s">
        <v>1110</v>
      </c>
      <c r="C23" s="385" t="s">
        <v>1108</v>
      </c>
      <c r="D23" s="388">
        <v>54</v>
      </c>
      <c r="E23" s="378" t="s">
        <v>642</v>
      </c>
      <c r="I23" s="145"/>
    </row>
    <row r="24" spans="1:5" ht="12.75">
      <c r="A24" s="398">
        <v>7130310041</v>
      </c>
      <c r="B24" s="380" t="s">
        <v>418</v>
      </c>
      <c r="C24" s="381" t="s">
        <v>1099</v>
      </c>
      <c r="D24" s="383">
        <v>97435</v>
      </c>
      <c r="E24" s="378" t="s">
        <v>643</v>
      </c>
    </row>
    <row r="25" spans="1:5" ht="12.75">
      <c r="A25" s="398">
        <v>7130310042</v>
      </c>
      <c r="B25" s="380" t="s">
        <v>420</v>
      </c>
      <c r="C25" s="379" t="s">
        <v>421</v>
      </c>
      <c r="D25" s="383">
        <v>34886</v>
      </c>
      <c r="E25" s="378" t="s">
        <v>644</v>
      </c>
    </row>
    <row r="26" spans="1:5" ht="12.75">
      <c r="A26" s="398">
        <v>7130310044</v>
      </c>
      <c r="B26" s="399" t="s">
        <v>1110</v>
      </c>
      <c r="C26" s="379" t="s">
        <v>421</v>
      </c>
      <c r="D26" s="383">
        <v>49565</v>
      </c>
      <c r="E26" s="378" t="s">
        <v>645</v>
      </c>
    </row>
    <row r="27" spans="1:5" ht="12.75">
      <c r="A27" s="384">
        <v>7130310048</v>
      </c>
      <c r="B27" s="399" t="s">
        <v>1111</v>
      </c>
      <c r="C27" s="379" t="s">
        <v>421</v>
      </c>
      <c r="D27" s="383">
        <v>76318</v>
      </c>
      <c r="E27" s="378"/>
    </row>
    <row r="28" spans="1:5" ht="12.75">
      <c r="A28" s="400">
        <v>7130310049</v>
      </c>
      <c r="B28" s="399" t="s">
        <v>1347</v>
      </c>
      <c r="C28" s="379" t="s">
        <v>421</v>
      </c>
      <c r="D28" s="383">
        <v>327469</v>
      </c>
      <c r="E28" s="378"/>
    </row>
    <row r="29" spans="1:5" ht="12.75">
      <c r="A29" s="384">
        <v>7130310050</v>
      </c>
      <c r="B29" s="399" t="s">
        <v>1348</v>
      </c>
      <c r="C29" s="379" t="s">
        <v>421</v>
      </c>
      <c r="D29" s="383">
        <v>911817</v>
      </c>
      <c r="E29" s="378"/>
    </row>
    <row r="30" spans="1:5" ht="12.75">
      <c r="A30" s="384">
        <v>7130310051</v>
      </c>
      <c r="B30" s="399" t="s">
        <v>1349</v>
      </c>
      <c r="C30" s="379" t="s">
        <v>421</v>
      </c>
      <c r="D30" s="382">
        <v>826257</v>
      </c>
      <c r="E30" s="378" t="s">
        <v>646</v>
      </c>
    </row>
    <row r="31" spans="1:5" ht="15.75" customHeight="1">
      <c r="A31" s="384">
        <v>7130310052</v>
      </c>
      <c r="B31" s="399" t="s">
        <v>1350</v>
      </c>
      <c r="C31" s="379" t="s">
        <v>421</v>
      </c>
      <c r="D31" s="383">
        <v>1014277</v>
      </c>
      <c r="E31" s="378"/>
    </row>
    <row r="32" spans="1:5" ht="15.75" customHeight="1">
      <c r="A32" s="384">
        <v>7130310053</v>
      </c>
      <c r="B32" s="399" t="s">
        <v>1351</v>
      </c>
      <c r="C32" s="379" t="s">
        <v>421</v>
      </c>
      <c r="D32" s="383">
        <v>1159278</v>
      </c>
      <c r="E32" s="378" t="s">
        <v>647</v>
      </c>
    </row>
    <row r="33" spans="1:5" ht="12.75">
      <c r="A33" s="384">
        <v>7130310054</v>
      </c>
      <c r="B33" s="399" t="s">
        <v>1352</v>
      </c>
      <c r="C33" s="379" t="s">
        <v>421</v>
      </c>
      <c r="D33" s="383">
        <v>1474142</v>
      </c>
      <c r="E33" s="378" t="s">
        <v>648</v>
      </c>
    </row>
    <row r="34" spans="1:7" ht="25.5">
      <c r="A34" s="393">
        <v>7130310055</v>
      </c>
      <c r="B34" s="395" t="s">
        <v>1353</v>
      </c>
      <c r="C34" s="377" t="s">
        <v>1330</v>
      </c>
      <c r="D34" s="388">
        <v>17336</v>
      </c>
      <c r="E34" s="378"/>
      <c r="G34" s="97"/>
    </row>
    <row r="35" spans="1:7" ht="25.5">
      <c r="A35" s="393">
        <v>7130310056</v>
      </c>
      <c r="B35" s="395" t="s">
        <v>1354</v>
      </c>
      <c r="C35" s="377" t="s">
        <v>1330</v>
      </c>
      <c r="D35" s="780">
        <v>24765</v>
      </c>
      <c r="E35" s="378"/>
      <c r="G35" s="97"/>
    </row>
    <row r="36" spans="1:7" ht="25.5">
      <c r="A36" s="393">
        <v>7130310057</v>
      </c>
      <c r="B36" s="392" t="s">
        <v>404</v>
      </c>
      <c r="C36" s="388" t="s">
        <v>421</v>
      </c>
      <c r="D36" s="780">
        <v>281789</v>
      </c>
      <c r="E36" s="378" t="s">
        <v>271</v>
      </c>
      <c r="G36" s="145"/>
    </row>
    <row r="37" spans="1:5" ht="25.5">
      <c r="A37" s="393">
        <v>7130310058</v>
      </c>
      <c r="B37" s="392" t="s">
        <v>405</v>
      </c>
      <c r="C37" s="388" t="s">
        <v>421</v>
      </c>
      <c r="D37" s="780">
        <v>398660</v>
      </c>
      <c r="E37" s="378"/>
    </row>
    <row r="38" spans="1:5" ht="25.5">
      <c r="A38" s="393">
        <v>7130310059</v>
      </c>
      <c r="B38" s="392" t="s">
        <v>406</v>
      </c>
      <c r="C38" s="388" t="s">
        <v>421</v>
      </c>
      <c r="D38" s="780">
        <v>596108</v>
      </c>
      <c r="E38" s="378"/>
    </row>
    <row r="39" spans="1:5" ht="25.5">
      <c r="A39" s="393">
        <v>7130310060</v>
      </c>
      <c r="B39" s="392" t="s">
        <v>407</v>
      </c>
      <c r="C39" s="388" t="s">
        <v>421</v>
      </c>
      <c r="D39" s="780">
        <v>562278</v>
      </c>
      <c r="E39" s="378"/>
    </row>
    <row r="40" spans="1:7" ht="25.5">
      <c r="A40" s="393">
        <v>7130310061</v>
      </c>
      <c r="B40" s="395" t="s">
        <v>408</v>
      </c>
      <c r="C40" s="377" t="s">
        <v>1330</v>
      </c>
      <c r="D40" s="388">
        <v>3784</v>
      </c>
      <c r="E40" s="378" t="s">
        <v>272</v>
      </c>
      <c r="G40" s="97"/>
    </row>
    <row r="41" spans="1:7" ht="25.5">
      <c r="A41" s="393">
        <v>7130310062</v>
      </c>
      <c r="B41" s="395" t="s">
        <v>409</v>
      </c>
      <c r="C41" s="377" t="s">
        <v>1330</v>
      </c>
      <c r="D41" s="388">
        <v>3982</v>
      </c>
      <c r="E41" s="378" t="s">
        <v>272</v>
      </c>
      <c r="G41" s="97"/>
    </row>
    <row r="42" spans="1:5" ht="25.5">
      <c r="A42" s="391">
        <v>7130310063</v>
      </c>
      <c r="B42" s="392" t="s">
        <v>412</v>
      </c>
      <c r="C42" s="388" t="s">
        <v>421</v>
      </c>
      <c r="D42" s="388">
        <v>46229</v>
      </c>
      <c r="E42" s="378" t="s">
        <v>273</v>
      </c>
    </row>
    <row r="43" spans="1:6" ht="25.5" customHeight="1" hidden="1">
      <c r="A43" s="494">
        <v>7130310064</v>
      </c>
      <c r="B43" s="509" t="s">
        <v>208</v>
      </c>
      <c r="C43" s="512" t="s">
        <v>421</v>
      </c>
      <c r="D43" s="499" t="s">
        <v>540</v>
      </c>
      <c r="E43" s="555" t="s">
        <v>273</v>
      </c>
      <c r="F43" s="781"/>
    </row>
    <row r="44" spans="1:5" ht="25.5">
      <c r="A44" s="385">
        <v>7130310065</v>
      </c>
      <c r="B44" s="392" t="s">
        <v>757</v>
      </c>
      <c r="C44" s="388" t="s">
        <v>421</v>
      </c>
      <c r="D44" s="388">
        <v>113368</v>
      </c>
      <c r="E44" s="378" t="s">
        <v>513</v>
      </c>
    </row>
    <row r="45" spans="1:5" ht="25.5">
      <c r="A45" s="391">
        <v>7130310066</v>
      </c>
      <c r="B45" s="392" t="s">
        <v>1702</v>
      </c>
      <c r="C45" s="388" t="s">
        <v>421</v>
      </c>
      <c r="D45" s="388">
        <v>123854</v>
      </c>
      <c r="E45" s="378" t="s">
        <v>514</v>
      </c>
    </row>
    <row r="46" spans="1:6" ht="25.5" hidden="1">
      <c r="A46" s="492">
        <v>7130310067</v>
      </c>
      <c r="B46" s="509" t="s">
        <v>2287</v>
      </c>
      <c r="C46" s="512" t="s">
        <v>421</v>
      </c>
      <c r="D46" s="499" t="s">
        <v>540</v>
      </c>
      <c r="E46" s="555" t="s">
        <v>514</v>
      </c>
      <c r="F46" s="781"/>
    </row>
    <row r="47" spans="1:6" ht="25.5" hidden="1">
      <c r="A47" s="492">
        <v>7130310068</v>
      </c>
      <c r="B47" s="509" t="s">
        <v>2291</v>
      </c>
      <c r="C47" s="512" t="s">
        <v>421</v>
      </c>
      <c r="D47" s="499" t="s">
        <v>540</v>
      </c>
      <c r="E47" s="555"/>
      <c r="F47" s="781"/>
    </row>
    <row r="48" spans="1:6" ht="25.5" hidden="1">
      <c r="A48" s="492">
        <v>7130310069</v>
      </c>
      <c r="B48" s="509" t="s">
        <v>2292</v>
      </c>
      <c r="C48" s="512" t="s">
        <v>421</v>
      </c>
      <c r="D48" s="499" t="s">
        <v>540</v>
      </c>
      <c r="E48" s="555" t="s">
        <v>514</v>
      </c>
      <c r="F48" s="781"/>
    </row>
    <row r="49" spans="1:5" ht="25.5">
      <c r="A49" s="377">
        <v>7130310070</v>
      </c>
      <c r="B49" s="392" t="s">
        <v>1295</v>
      </c>
      <c r="C49" s="388" t="s">
        <v>421</v>
      </c>
      <c r="D49" s="388">
        <v>45159</v>
      </c>
      <c r="E49" s="378" t="s">
        <v>1827</v>
      </c>
    </row>
    <row r="50" spans="1:7" ht="25.5">
      <c r="A50" s="377">
        <v>7130310073</v>
      </c>
      <c r="B50" s="392" t="s">
        <v>99</v>
      </c>
      <c r="C50" s="388" t="s">
        <v>421</v>
      </c>
      <c r="D50" s="388">
        <v>60003</v>
      </c>
      <c r="E50" s="378" t="s">
        <v>1828</v>
      </c>
      <c r="G50" s="97"/>
    </row>
    <row r="51" spans="1:5" ht="18" customHeight="1">
      <c r="A51" s="384">
        <v>7130310075</v>
      </c>
      <c r="B51" s="399" t="s">
        <v>1352</v>
      </c>
      <c r="C51" s="379" t="s">
        <v>421</v>
      </c>
      <c r="D51" s="383">
        <v>1891074</v>
      </c>
      <c r="E51" s="378" t="s">
        <v>1829</v>
      </c>
    </row>
    <row r="52" spans="1:5" ht="19.5" customHeight="1">
      <c r="A52" s="393">
        <v>7130310076</v>
      </c>
      <c r="B52" s="392" t="s">
        <v>1103</v>
      </c>
      <c r="C52" s="385" t="s">
        <v>421</v>
      </c>
      <c r="D52" s="388">
        <v>504670</v>
      </c>
      <c r="E52" s="554"/>
    </row>
    <row r="53" spans="1:5" ht="17.25" customHeight="1">
      <c r="A53" s="393">
        <v>7130310077</v>
      </c>
      <c r="B53" s="392" t="s">
        <v>1279</v>
      </c>
      <c r="C53" s="385" t="s">
        <v>421</v>
      </c>
      <c r="D53" s="388">
        <v>510601</v>
      </c>
      <c r="E53" s="378" t="s">
        <v>1830</v>
      </c>
    </row>
    <row r="54" spans="1:5" ht="17.25" customHeight="1">
      <c r="A54" s="393">
        <v>7130310078</v>
      </c>
      <c r="B54" s="392" t="s">
        <v>1112</v>
      </c>
      <c r="C54" s="385" t="s">
        <v>421</v>
      </c>
      <c r="D54" s="388">
        <v>761409</v>
      </c>
      <c r="E54" s="378" t="s">
        <v>1831</v>
      </c>
    </row>
    <row r="55" spans="1:5" ht="18" customHeight="1">
      <c r="A55" s="393">
        <v>7130310079</v>
      </c>
      <c r="B55" s="392" t="s">
        <v>1113</v>
      </c>
      <c r="C55" s="385" t="s">
        <v>421</v>
      </c>
      <c r="D55" s="388">
        <v>922530</v>
      </c>
      <c r="E55" s="378" t="s">
        <v>1832</v>
      </c>
    </row>
    <row r="56" spans="1:5" ht="15.75" customHeight="1">
      <c r="A56" s="393">
        <v>7130310080</v>
      </c>
      <c r="B56" s="392" t="s">
        <v>1106</v>
      </c>
      <c r="C56" s="385" t="s">
        <v>421</v>
      </c>
      <c r="D56" s="388">
        <v>1421382</v>
      </c>
      <c r="E56" s="378" t="s">
        <v>1833</v>
      </c>
    </row>
    <row r="57" spans="1:5" ht="12.75">
      <c r="A57" s="389">
        <v>7130310652</v>
      </c>
      <c r="B57" s="387" t="s">
        <v>434</v>
      </c>
      <c r="C57" s="385" t="s">
        <v>1099</v>
      </c>
      <c r="D57" s="388">
        <v>35395</v>
      </c>
      <c r="E57" s="554" t="s">
        <v>1834</v>
      </c>
    </row>
    <row r="58" spans="1:5" ht="14.25" customHeight="1">
      <c r="A58" s="389">
        <v>7130310652</v>
      </c>
      <c r="B58" s="387" t="s">
        <v>433</v>
      </c>
      <c r="C58" s="385" t="s">
        <v>1099</v>
      </c>
      <c r="D58" s="388">
        <v>65704</v>
      </c>
      <c r="E58" s="378" t="s">
        <v>1834</v>
      </c>
    </row>
    <row r="59" spans="1:5" ht="12.75">
      <c r="A59" s="389">
        <v>7130310654</v>
      </c>
      <c r="B59" s="387" t="s">
        <v>435</v>
      </c>
      <c r="C59" s="385" t="s">
        <v>1099</v>
      </c>
      <c r="D59" s="388">
        <v>58843</v>
      </c>
      <c r="E59" s="554" t="s">
        <v>1835</v>
      </c>
    </row>
    <row r="60" spans="1:5" ht="12.75">
      <c r="A60" s="385">
        <v>7130310654</v>
      </c>
      <c r="B60" s="387" t="s">
        <v>436</v>
      </c>
      <c r="C60" s="385" t="s">
        <v>1099</v>
      </c>
      <c r="D60" s="388">
        <v>94649</v>
      </c>
      <c r="E60" s="554" t="s">
        <v>1835</v>
      </c>
    </row>
    <row r="61" spans="1:5" ht="12.75">
      <c r="A61" s="389">
        <v>7130310658</v>
      </c>
      <c r="B61" s="387" t="s">
        <v>437</v>
      </c>
      <c r="C61" s="385" t="s">
        <v>1099</v>
      </c>
      <c r="D61" s="388">
        <v>106359</v>
      </c>
      <c r="E61" s="554" t="s">
        <v>1836</v>
      </c>
    </row>
    <row r="62" spans="1:5" ht="12.75">
      <c r="A62" s="389">
        <v>7130310660</v>
      </c>
      <c r="B62" s="387" t="s">
        <v>438</v>
      </c>
      <c r="C62" s="385" t="s">
        <v>1099</v>
      </c>
      <c r="D62" s="388">
        <v>132115</v>
      </c>
      <c r="E62" s="554" t="s">
        <v>43</v>
      </c>
    </row>
    <row r="63" spans="1:5" ht="12.75">
      <c r="A63" s="389">
        <v>7130310660</v>
      </c>
      <c r="B63" s="387" t="s">
        <v>439</v>
      </c>
      <c r="C63" s="385" t="s">
        <v>1099</v>
      </c>
      <c r="D63" s="388">
        <v>144477</v>
      </c>
      <c r="E63" s="554" t="s">
        <v>43</v>
      </c>
    </row>
    <row r="64" spans="1:5" ht="12.75">
      <c r="A64" s="389">
        <v>7130310662</v>
      </c>
      <c r="B64" s="387" t="s">
        <v>440</v>
      </c>
      <c r="C64" s="385" t="s">
        <v>1099</v>
      </c>
      <c r="D64" s="388">
        <v>143554</v>
      </c>
      <c r="E64" s="554" t="s">
        <v>44</v>
      </c>
    </row>
    <row r="65" spans="1:5" ht="12.75">
      <c r="A65" s="377">
        <v>7130311008</v>
      </c>
      <c r="B65" s="387" t="s">
        <v>1100</v>
      </c>
      <c r="C65" s="385" t="s">
        <v>1101</v>
      </c>
      <c r="D65" s="388">
        <v>14819</v>
      </c>
      <c r="E65" s="554" t="s">
        <v>45</v>
      </c>
    </row>
    <row r="66" spans="1:5" ht="12.75">
      <c r="A66" s="385">
        <v>7130311009</v>
      </c>
      <c r="B66" s="387" t="s">
        <v>1102</v>
      </c>
      <c r="C66" s="385" t="s">
        <v>1101</v>
      </c>
      <c r="D66" s="388">
        <v>34517</v>
      </c>
      <c r="E66" s="554" t="s">
        <v>46</v>
      </c>
    </row>
    <row r="67" spans="1:5" ht="12.75">
      <c r="A67" s="385">
        <v>7130311010</v>
      </c>
      <c r="B67" s="387" t="s">
        <v>1103</v>
      </c>
      <c r="C67" s="385" t="s">
        <v>1101</v>
      </c>
      <c r="D67" s="388">
        <v>46364</v>
      </c>
      <c r="E67" s="554" t="s">
        <v>1892</v>
      </c>
    </row>
    <row r="68" spans="1:5" ht="12.75" customHeight="1">
      <c r="A68" s="385">
        <v>7130311011</v>
      </c>
      <c r="B68" s="387" t="s">
        <v>1104</v>
      </c>
      <c r="C68" s="385" t="s">
        <v>1101</v>
      </c>
      <c r="D68" s="388">
        <v>87502</v>
      </c>
      <c r="E68" s="554" t="s">
        <v>1893</v>
      </c>
    </row>
    <row r="69" spans="1:5" ht="12.75">
      <c r="A69" s="385">
        <v>7130311012</v>
      </c>
      <c r="B69" s="387" t="s">
        <v>1105</v>
      </c>
      <c r="C69" s="385" t="s">
        <v>1101</v>
      </c>
      <c r="D69" s="388">
        <v>169478</v>
      </c>
      <c r="E69" s="554" t="s">
        <v>1894</v>
      </c>
    </row>
    <row r="70" spans="1:5" ht="12.75">
      <c r="A70" s="385">
        <v>7130311013</v>
      </c>
      <c r="B70" s="387" t="s">
        <v>1106</v>
      </c>
      <c r="C70" s="385" t="s">
        <v>1101</v>
      </c>
      <c r="D70" s="388">
        <v>209245</v>
      </c>
      <c r="E70" s="554" t="s">
        <v>1895</v>
      </c>
    </row>
    <row r="71" spans="1:5" ht="12.75">
      <c r="A71" s="386">
        <v>7130311054</v>
      </c>
      <c r="B71" s="380" t="s">
        <v>1346</v>
      </c>
      <c r="C71" s="379" t="s">
        <v>421</v>
      </c>
      <c r="D71" s="383">
        <v>114082</v>
      </c>
      <c r="E71" s="554" t="s">
        <v>1896</v>
      </c>
    </row>
    <row r="72" spans="1:5" ht="12.75" customHeight="1">
      <c r="A72" s="386">
        <v>7130311057</v>
      </c>
      <c r="B72" s="380" t="s">
        <v>418</v>
      </c>
      <c r="C72" s="379" t="s">
        <v>421</v>
      </c>
      <c r="D72" s="383">
        <v>394640</v>
      </c>
      <c r="E72" s="554" t="s">
        <v>1897</v>
      </c>
    </row>
    <row r="73" spans="1:5" ht="12.75">
      <c r="A73" s="386">
        <v>7130311061</v>
      </c>
      <c r="B73" s="380" t="s">
        <v>419</v>
      </c>
      <c r="C73" s="379" t="s">
        <v>421</v>
      </c>
      <c r="D73" s="383">
        <v>626228</v>
      </c>
      <c r="E73" s="554" t="s">
        <v>1898</v>
      </c>
    </row>
    <row r="74" spans="1:5" ht="12.75">
      <c r="A74" s="386">
        <v>7130311084</v>
      </c>
      <c r="B74" s="380" t="s">
        <v>420</v>
      </c>
      <c r="C74" s="379" t="s">
        <v>421</v>
      </c>
      <c r="D74" s="383">
        <v>52156</v>
      </c>
      <c r="E74" s="554" t="s">
        <v>1899</v>
      </c>
    </row>
    <row r="75" spans="1:7" ht="25.5">
      <c r="A75" s="393">
        <v>7130320037</v>
      </c>
      <c r="B75" s="395" t="s">
        <v>1355</v>
      </c>
      <c r="C75" s="377" t="s">
        <v>1330</v>
      </c>
      <c r="D75" s="780">
        <v>9906</v>
      </c>
      <c r="E75" s="554"/>
      <c r="G75" s="97"/>
    </row>
    <row r="76" spans="1:7" ht="25.5">
      <c r="A76" s="393">
        <v>7130320038</v>
      </c>
      <c r="B76" s="395" t="s">
        <v>1356</v>
      </c>
      <c r="C76" s="377" t="s">
        <v>1330</v>
      </c>
      <c r="D76" s="780">
        <v>12383</v>
      </c>
      <c r="E76" s="378" t="s">
        <v>1900</v>
      </c>
      <c r="G76" s="97"/>
    </row>
    <row r="77" spans="1:7" ht="18.75" customHeight="1">
      <c r="A77" s="393">
        <v>7130320039</v>
      </c>
      <c r="B77" s="392" t="s">
        <v>1755</v>
      </c>
      <c r="C77" s="377" t="s">
        <v>1330</v>
      </c>
      <c r="D77" s="780">
        <v>14859</v>
      </c>
      <c r="E77" s="378" t="s">
        <v>1901</v>
      </c>
      <c r="G77" s="97"/>
    </row>
    <row r="78" spans="1:7" ht="26.25" customHeight="1">
      <c r="A78" s="393">
        <v>7130320040</v>
      </c>
      <c r="B78" s="392" t="s">
        <v>400</v>
      </c>
      <c r="C78" s="377" t="s">
        <v>1330</v>
      </c>
      <c r="D78" s="780">
        <v>17336</v>
      </c>
      <c r="E78" s="378" t="s">
        <v>1902</v>
      </c>
      <c r="G78" s="97"/>
    </row>
    <row r="79" spans="1:7" ht="27" customHeight="1">
      <c r="A79" s="393">
        <v>7130320041</v>
      </c>
      <c r="B79" s="392" t="s">
        <v>401</v>
      </c>
      <c r="C79" s="377" t="s">
        <v>1330</v>
      </c>
      <c r="D79" s="780">
        <v>18574</v>
      </c>
      <c r="E79" s="554"/>
      <c r="G79" s="97"/>
    </row>
    <row r="80" spans="1:7" ht="21.75" customHeight="1">
      <c r="A80" s="393">
        <v>7130320042</v>
      </c>
      <c r="B80" s="392" t="s">
        <v>402</v>
      </c>
      <c r="C80" s="377" t="s">
        <v>1330</v>
      </c>
      <c r="D80" s="780">
        <v>22289</v>
      </c>
      <c r="E80" s="554"/>
      <c r="G80" s="97"/>
    </row>
    <row r="81" spans="1:7" ht="28.5" customHeight="1">
      <c r="A81" s="393">
        <v>7130320043</v>
      </c>
      <c r="B81" s="395" t="s">
        <v>2226</v>
      </c>
      <c r="C81" s="377" t="s">
        <v>1611</v>
      </c>
      <c r="D81" s="780">
        <v>780</v>
      </c>
      <c r="E81" s="378" t="s">
        <v>1903</v>
      </c>
      <c r="G81" s="97"/>
    </row>
    <row r="82" spans="1:7" ht="25.5">
      <c r="A82" s="401">
        <v>7130320044</v>
      </c>
      <c r="B82" s="395" t="s">
        <v>2225</v>
      </c>
      <c r="C82" s="377" t="s">
        <v>1611</v>
      </c>
      <c r="D82" s="780">
        <v>842</v>
      </c>
      <c r="E82" s="554"/>
      <c r="G82" s="97"/>
    </row>
    <row r="83" spans="1:7" ht="19.5" customHeight="1">
      <c r="A83" s="401">
        <v>7130320045</v>
      </c>
      <c r="B83" s="392" t="s">
        <v>403</v>
      </c>
      <c r="C83" s="377" t="s">
        <v>1611</v>
      </c>
      <c r="D83" s="780">
        <v>25</v>
      </c>
      <c r="E83" s="554"/>
      <c r="G83" s="97"/>
    </row>
    <row r="84" spans="1:7" ht="18" hidden="1">
      <c r="A84" s="492">
        <v>7130320046</v>
      </c>
      <c r="B84" s="502" t="s">
        <v>1856</v>
      </c>
      <c r="C84" s="492" t="s">
        <v>1330</v>
      </c>
      <c r="D84" s="499" t="s">
        <v>540</v>
      </c>
      <c r="E84" s="555" t="s">
        <v>1904</v>
      </c>
      <c r="F84" s="781"/>
      <c r="G84" s="97"/>
    </row>
    <row r="85" spans="1:7" ht="25.5" hidden="1">
      <c r="A85" s="492">
        <v>7130320047</v>
      </c>
      <c r="B85" s="502" t="s">
        <v>1857</v>
      </c>
      <c r="C85" s="492" t="s">
        <v>1330</v>
      </c>
      <c r="D85" s="499" t="s">
        <v>540</v>
      </c>
      <c r="E85" s="555" t="s">
        <v>1905</v>
      </c>
      <c r="F85" s="781"/>
      <c r="G85" s="97"/>
    </row>
    <row r="86" spans="1:7" ht="25.5">
      <c r="A86" s="393">
        <v>7130320048</v>
      </c>
      <c r="B86" s="395" t="s">
        <v>410</v>
      </c>
      <c r="C86" s="377" t="s">
        <v>1330</v>
      </c>
      <c r="D86" s="388">
        <v>2396</v>
      </c>
      <c r="E86" s="378" t="s">
        <v>649</v>
      </c>
      <c r="G86" s="97"/>
    </row>
    <row r="87" spans="1:7" ht="25.5">
      <c r="A87" s="393">
        <v>7130320049</v>
      </c>
      <c r="B87" s="395" t="s">
        <v>411</v>
      </c>
      <c r="C87" s="377" t="s">
        <v>1330</v>
      </c>
      <c r="D87" s="388">
        <v>2524</v>
      </c>
      <c r="E87" s="378"/>
      <c r="G87" s="97"/>
    </row>
    <row r="88" spans="1:7" ht="25.5">
      <c r="A88" s="393">
        <v>7130320053</v>
      </c>
      <c r="B88" s="392" t="s">
        <v>2087</v>
      </c>
      <c r="C88" s="377" t="s">
        <v>83</v>
      </c>
      <c r="D88" s="388">
        <v>5</v>
      </c>
      <c r="E88" s="378" t="s">
        <v>650</v>
      </c>
      <c r="G88" s="97"/>
    </row>
    <row r="89" spans="1:7" ht="25.5">
      <c r="A89" s="393">
        <v>7130352010</v>
      </c>
      <c r="B89" s="392" t="s">
        <v>103</v>
      </c>
      <c r="C89" s="385" t="s">
        <v>1330</v>
      </c>
      <c r="D89" s="388">
        <v>35084</v>
      </c>
      <c r="E89" s="378" t="s">
        <v>651</v>
      </c>
      <c r="G89" s="97"/>
    </row>
    <row r="90" spans="1:7" ht="12.75">
      <c r="A90" s="398">
        <v>7130352030</v>
      </c>
      <c r="B90" s="399" t="s">
        <v>2088</v>
      </c>
      <c r="C90" s="379" t="s">
        <v>1330</v>
      </c>
      <c r="D90" s="382">
        <v>804</v>
      </c>
      <c r="E90" s="378"/>
      <c r="G90" s="97"/>
    </row>
    <row r="91" spans="1:7" ht="12.75">
      <c r="A91" s="398">
        <v>7130352031</v>
      </c>
      <c r="B91" s="399" t="s">
        <v>2089</v>
      </c>
      <c r="C91" s="379" t="s">
        <v>1330</v>
      </c>
      <c r="D91" s="382">
        <v>804</v>
      </c>
      <c r="E91" s="378" t="s">
        <v>652</v>
      </c>
      <c r="G91" s="97"/>
    </row>
    <row r="92" spans="1:7" ht="12.75">
      <c r="A92" s="398">
        <v>7130352032</v>
      </c>
      <c r="B92" s="399" t="s">
        <v>578</v>
      </c>
      <c r="C92" s="379" t="s">
        <v>1330</v>
      </c>
      <c r="D92" s="382">
        <v>863</v>
      </c>
      <c r="E92" s="554"/>
      <c r="G92" s="97"/>
    </row>
    <row r="93" spans="1:7" ht="12.75">
      <c r="A93" s="398">
        <v>7130352033</v>
      </c>
      <c r="B93" s="399" t="s">
        <v>1296</v>
      </c>
      <c r="C93" s="379" t="s">
        <v>1330</v>
      </c>
      <c r="D93" s="382">
        <v>1213</v>
      </c>
      <c r="E93" s="554"/>
      <c r="G93" s="97"/>
    </row>
    <row r="94" spans="1:7" ht="12.75">
      <c r="A94" s="398">
        <v>7130352034</v>
      </c>
      <c r="B94" s="399" t="s">
        <v>1275</v>
      </c>
      <c r="C94" s="379" t="s">
        <v>1330</v>
      </c>
      <c r="D94" s="382">
        <v>1808</v>
      </c>
      <c r="E94" s="554"/>
      <c r="G94" s="97"/>
    </row>
    <row r="95" spans="1:7" ht="12.75" customHeight="1">
      <c r="A95" s="398">
        <v>7130352035</v>
      </c>
      <c r="B95" s="399" t="s">
        <v>1276</v>
      </c>
      <c r="C95" s="379" t="s">
        <v>1330</v>
      </c>
      <c r="D95" s="382">
        <v>2923</v>
      </c>
      <c r="E95" s="554"/>
      <c r="G95" s="97"/>
    </row>
    <row r="96" spans="1:7" ht="12.75">
      <c r="A96" s="398">
        <v>7130352036</v>
      </c>
      <c r="B96" s="399" t="s">
        <v>1277</v>
      </c>
      <c r="C96" s="379" t="s">
        <v>1330</v>
      </c>
      <c r="D96" s="382">
        <v>3735</v>
      </c>
      <c r="E96" s="554"/>
      <c r="G96" s="97"/>
    </row>
    <row r="97" spans="1:7" ht="25.5">
      <c r="A97" s="393">
        <v>7130352037</v>
      </c>
      <c r="B97" s="392" t="s">
        <v>1601</v>
      </c>
      <c r="C97" s="385" t="s">
        <v>1330</v>
      </c>
      <c r="D97" s="388">
        <v>21050</v>
      </c>
      <c r="E97" s="378" t="s">
        <v>653</v>
      </c>
      <c r="G97" s="97"/>
    </row>
    <row r="98" spans="1:7" ht="12.75">
      <c r="A98" s="384">
        <v>7130352038</v>
      </c>
      <c r="B98" s="378" t="s">
        <v>1114</v>
      </c>
      <c r="C98" s="379" t="s">
        <v>1330</v>
      </c>
      <c r="D98" s="382">
        <v>7880</v>
      </c>
      <c r="E98" s="554"/>
      <c r="G98" s="97"/>
    </row>
    <row r="99" spans="1:7" ht="12.75">
      <c r="A99" s="384">
        <v>7130352039</v>
      </c>
      <c r="B99" s="378" t="s">
        <v>1115</v>
      </c>
      <c r="C99" s="379" t="s">
        <v>1330</v>
      </c>
      <c r="D99" s="782">
        <v>8701</v>
      </c>
      <c r="E99" s="554" t="s">
        <v>654</v>
      </c>
      <c r="G99" s="97"/>
    </row>
    <row r="100" spans="1:7" ht="12.75">
      <c r="A100" s="384">
        <v>7130352040</v>
      </c>
      <c r="B100" s="378" t="s">
        <v>1116</v>
      </c>
      <c r="C100" s="379" t="s">
        <v>1330</v>
      </c>
      <c r="D100" s="382">
        <v>10187</v>
      </c>
      <c r="E100" s="554" t="s">
        <v>655</v>
      </c>
      <c r="G100" s="97"/>
    </row>
    <row r="101" spans="1:7" ht="12.75">
      <c r="A101" s="384">
        <v>7130352041</v>
      </c>
      <c r="B101" s="378" t="s">
        <v>1117</v>
      </c>
      <c r="C101" s="379" t="s">
        <v>1330</v>
      </c>
      <c r="D101" s="782">
        <v>10751</v>
      </c>
      <c r="E101" s="554" t="s">
        <v>656</v>
      </c>
      <c r="G101" s="97"/>
    </row>
    <row r="102" spans="1:7" ht="12.75">
      <c r="A102" s="384">
        <v>7130352042</v>
      </c>
      <c r="B102" s="378" t="s">
        <v>1118</v>
      </c>
      <c r="C102" s="379" t="s">
        <v>1330</v>
      </c>
      <c r="D102" s="782">
        <v>11000</v>
      </c>
      <c r="E102" s="554" t="s">
        <v>657</v>
      </c>
      <c r="G102" s="97"/>
    </row>
    <row r="103" spans="1:7" ht="12.75">
      <c r="A103" s="393">
        <v>7130352043</v>
      </c>
      <c r="B103" s="378" t="s">
        <v>1115</v>
      </c>
      <c r="C103" s="377" t="s">
        <v>1330</v>
      </c>
      <c r="D103" s="780">
        <v>2406</v>
      </c>
      <c r="E103" s="554" t="s">
        <v>658</v>
      </c>
      <c r="G103" s="97"/>
    </row>
    <row r="104" spans="1:7" ht="12.75">
      <c r="A104" s="393">
        <v>7130352044</v>
      </c>
      <c r="B104" s="378" t="s">
        <v>1117</v>
      </c>
      <c r="C104" s="377" t="s">
        <v>1330</v>
      </c>
      <c r="D104" s="780">
        <v>2561</v>
      </c>
      <c r="E104" s="554" t="s">
        <v>659</v>
      </c>
      <c r="G104" s="97"/>
    </row>
    <row r="105" spans="1:7" ht="12.75">
      <c r="A105" s="393">
        <v>7130352045</v>
      </c>
      <c r="B105" s="378" t="s">
        <v>1118</v>
      </c>
      <c r="C105" s="377" t="s">
        <v>1330</v>
      </c>
      <c r="D105" s="780">
        <v>2630</v>
      </c>
      <c r="E105" s="554" t="s">
        <v>660</v>
      </c>
      <c r="G105" s="97"/>
    </row>
    <row r="106" spans="1:5" ht="12.75">
      <c r="A106" s="400">
        <v>7130352046</v>
      </c>
      <c r="B106" s="387" t="s">
        <v>1775</v>
      </c>
      <c r="C106" s="381" t="s">
        <v>1331</v>
      </c>
      <c r="D106" s="383">
        <v>3115</v>
      </c>
      <c r="E106" s="554" t="s">
        <v>661</v>
      </c>
    </row>
    <row r="107" spans="1:5" ht="12.75">
      <c r="A107" s="393">
        <v>7130354274</v>
      </c>
      <c r="B107" s="392" t="s">
        <v>1202</v>
      </c>
      <c r="C107" s="377" t="s">
        <v>1756</v>
      </c>
      <c r="D107" s="396">
        <v>2</v>
      </c>
      <c r="E107" s="554" t="s">
        <v>662</v>
      </c>
    </row>
    <row r="108" spans="1:5" ht="12.75">
      <c r="A108" s="393">
        <v>7130354275</v>
      </c>
      <c r="B108" s="392" t="s">
        <v>1203</v>
      </c>
      <c r="C108" s="377" t="s">
        <v>1756</v>
      </c>
      <c r="D108" s="396">
        <v>2</v>
      </c>
      <c r="E108" s="554" t="s">
        <v>869</v>
      </c>
    </row>
    <row r="109" spans="1:5" ht="12.75">
      <c r="A109" s="393">
        <v>7130354276</v>
      </c>
      <c r="B109" s="392" t="s">
        <v>1204</v>
      </c>
      <c r="C109" s="377" t="s">
        <v>1756</v>
      </c>
      <c r="D109" s="396">
        <v>4</v>
      </c>
      <c r="E109" s="554"/>
    </row>
    <row r="110" spans="1:5" ht="12.75">
      <c r="A110" s="393">
        <v>7130354277</v>
      </c>
      <c r="B110" s="392" t="s">
        <v>1205</v>
      </c>
      <c r="C110" s="377" t="s">
        <v>1756</v>
      </c>
      <c r="D110" s="396">
        <v>5</v>
      </c>
      <c r="E110" s="554"/>
    </row>
    <row r="111" spans="1:5" ht="12.75">
      <c r="A111" s="393">
        <v>7130354278</v>
      </c>
      <c r="B111" s="392" t="s">
        <v>1206</v>
      </c>
      <c r="C111" s="377" t="s">
        <v>1756</v>
      </c>
      <c r="D111" s="396">
        <v>8</v>
      </c>
      <c r="E111" s="554" t="s">
        <v>870</v>
      </c>
    </row>
    <row r="112" spans="1:5" ht="12.75">
      <c r="A112" s="393">
        <v>7130354279</v>
      </c>
      <c r="B112" s="392" t="s">
        <v>1207</v>
      </c>
      <c r="C112" s="377" t="s">
        <v>1756</v>
      </c>
      <c r="D112" s="396">
        <v>12</v>
      </c>
      <c r="E112" s="554" t="s">
        <v>871</v>
      </c>
    </row>
    <row r="113" spans="1:5" ht="12.75">
      <c r="A113" s="393">
        <v>7130354280</v>
      </c>
      <c r="B113" s="392" t="s">
        <v>1208</v>
      </c>
      <c r="C113" s="377" t="s">
        <v>1756</v>
      </c>
      <c r="D113" s="396">
        <v>15</v>
      </c>
      <c r="E113" s="554" t="s">
        <v>872</v>
      </c>
    </row>
    <row r="114" spans="1:5" ht="12.75" customHeight="1">
      <c r="A114" s="393">
        <v>7130354281</v>
      </c>
      <c r="B114" s="392" t="s">
        <v>1209</v>
      </c>
      <c r="C114" s="377" t="s">
        <v>1756</v>
      </c>
      <c r="D114" s="396">
        <v>21</v>
      </c>
      <c r="E114" s="554" t="s">
        <v>873</v>
      </c>
    </row>
    <row r="115" spans="1:6" ht="17.25" customHeight="1">
      <c r="A115" s="393">
        <v>7130354282</v>
      </c>
      <c r="B115" s="392" t="s">
        <v>1210</v>
      </c>
      <c r="C115" s="377" t="s">
        <v>1756</v>
      </c>
      <c r="D115" s="396">
        <v>24</v>
      </c>
      <c r="E115" s="378" t="s">
        <v>874</v>
      </c>
      <c r="F115" s="283"/>
    </row>
    <row r="116" spans="1:5" ht="12.75">
      <c r="A116" s="393">
        <v>7130354283</v>
      </c>
      <c r="B116" s="392" t="s">
        <v>321</v>
      </c>
      <c r="C116" s="377" t="s">
        <v>1756</v>
      </c>
      <c r="D116" s="396">
        <v>38</v>
      </c>
      <c r="E116" s="554"/>
    </row>
    <row r="117" spans="1:5" ht="12.75">
      <c r="A117" s="393">
        <v>7130354284</v>
      </c>
      <c r="B117" s="392" t="s">
        <v>322</v>
      </c>
      <c r="C117" s="377" t="s">
        <v>1756</v>
      </c>
      <c r="D117" s="396">
        <v>43</v>
      </c>
      <c r="E117" s="554"/>
    </row>
    <row r="118" spans="1:5" ht="12.75" customHeight="1">
      <c r="A118" s="393">
        <v>7130354285</v>
      </c>
      <c r="B118" s="392" t="s">
        <v>323</v>
      </c>
      <c r="C118" s="377" t="s">
        <v>1756</v>
      </c>
      <c r="D118" s="396">
        <v>61</v>
      </c>
      <c r="E118" s="554"/>
    </row>
    <row r="119" spans="1:5" ht="12.75">
      <c r="A119" s="393">
        <v>7130354286</v>
      </c>
      <c r="B119" s="392" t="s">
        <v>324</v>
      </c>
      <c r="C119" s="377" t="s">
        <v>1756</v>
      </c>
      <c r="D119" s="396">
        <v>72</v>
      </c>
      <c r="E119" s="554" t="s">
        <v>2194</v>
      </c>
    </row>
    <row r="120" spans="1:5" ht="12.75">
      <c r="A120" s="393">
        <v>7130354287</v>
      </c>
      <c r="B120" s="392" t="s">
        <v>325</v>
      </c>
      <c r="C120" s="377" t="s">
        <v>1756</v>
      </c>
      <c r="D120" s="396">
        <v>93</v>
      </c>
      <c r="E120" s="554"/>
    </row>
    <row r="121" spans="1:7" ht="25.5">
      <c r="A121" s="377">
        <v>7130354442</v>
      </c>
      <c r="B121" s="392" t="s">
        <v>2022</v>
      </c>
      <c r="C121" s="388" t="s">
        <v>1756</v>
      </c>
      <c r="D121" s="388">
        <v>627</v>
      </c>
      <c r="E121" s="378" t="s">
        <v>2195</v>
      </c>
      <c r="G121" s="97"/>
    </row>
    <row r="122" spans="1:7" ht="38.25">
      <c r="A122" s="377">
        <v>7130390003</v>
      </c>
      <c r="B122" s="392" t="s">
        <v>2019</v>
      </c>
      <c r="C122" s="388" t="s">
        <v>1756</v>
      </c>
      <c r="D122" s="388">
        <v>80</v>
      </c>
      <c r="E122" s="378" t="s">
        <v>2196</v>
      </c>
      <c r="G122" s="97"/>
    </row>
    <row r="123" spans="1:7" ht="38.25">
      <c r="A123" s="377">
        <v>7130390004</v>
      </c>
      <c r="B123" s="392" t="s">
        <v>2020</v>
      </c>
      <c r="C123" s="388" t="s">
        <v>1756</v>
      </c>
      <c r="D123" s="388">
        <v>104</v>
      </c>
      <c r="E123" s="378" t="s">
        <v>2197</v>
      </c>
      <c r="G123" s="97"/>
    </row>
    <row r="124" spans="1:7" ht="39.75" customHeight="1">
      <c r="A124" s="377">
        <v>7130390005</v>
      </c>
      <c r="B124" s="392" t="s">
        <v>2021</v>
      </c>
      <c r="C124" s="388" t="s">
        <v>1756</v>
      </c>
      <c r="D124" s="388">
        <v>145</v>
      </c>
      <c r="E124" s="378" t="s">
        <v>209</v>
      </c>
      <c r="G124" s="97"/>
    </row>
    <row r="125" spans="1:7" ht="18" customHeight="1">
      <c r="A125" s="393">
        <v>7130390006</v>
      </c>
      <c r="B125" s="392" t="s">
        <v>2086</v>
      </c>
      <c r="C125" s="377" t="s">
        <v>1611</v>
      </c>
      <c r="D125" s="396">
        <v>149</v>
      </c>
      <c r="E125" s="378" t="s">
        <v>210</v>
      </c>
      <c r="G125" s="97"/>
    </row>
    <row r="126" spans="1:7" ht="16.5" customHeight="1">
      <c r="A126" s="377">
        <v>7130390007</v>
      </c>
      <c r="B126" s="392" t="s">
        <v>1309</v>
      </c>
      <c r="C126" s="388" t="s">
        <v>1756</v>
      </c>
      <c r="D126" s="388">
        <v>172</v>
      </c>
      <c r="E126" s="378" t="s">
        <v>211</v>
      </c>
      <c r="G126" s="97"/>
    </row>
    <row r="127" spans="1:7" ht="25.5" hidden="1">
      <c r="A127" s="492">
        <v>7130390008</v>
      </c>
      <c r="B127" s="509" t="s">
        <v>1540</v>
      </c>
      <c r="C127" s="492" t="s">
        <v>1611</v>
      </c>
      <c r="D127" s="499" t="s">
        <v>540</v>
      </c>
      <c r="E127" s="556"/>
      <c r="F127" s="781"/>
      <c r="G127" s="97"/>
    </row>
    <row r="128" spans="1:7" ht="25.5" hidden="1">
      <c r="A128" s="492">
        <v>7130390017</v>
      </c>
      <c r="B128" s="502" t="s">
        <v>425</v>
      </c>
      <c r="C128" s="492" t="s">
        <v>1611</v>
      </c>
      <c r="D128" s="499" t="s">
        <v>540</v>
      </c>
      <c r="E128" s="556"/>
      <c r="F128" s="781"/>
      <c r="G128" s="97"/>
    </row>
    <row r="129" spans="1:7" ht="25.5" hidden="1">
      <c r="A129" s="492">
        <v>7130390018</v>
      </c>
      <c r="B129" s="509" t="s">
        <v>426</v>
      </c>
      <c r="C129" s="492" t="s">
        <v>1611</v>
      </c>
      <c r="D129" s="499" t="s">
        <v>540</v>
      </c>
      <c r="E129" s="556"/>
      <c r="F129" s="781"/>
      <c r="G129" s="97"/>
    </row>
    <row r="130" spans="1:7" ht="17.25" customHeight="1">
      <c r="A130" s="393">
        <v>7130390019</v>
      </c>
      <c r="B130" s="392" t="s">
        <v>1310</v>
      </c>
      <c r="C130" s="377" t="s">
        <v>1756</v>
      </c>
      <c r="D130" s="396">
        <v>28</v>
      </c>
      <c r="E130" s="378" t="s">
        <v>212</v>
      </c>
      <c r="G130" s="97"/>
    </row>
    <row r="131" spans="1:5" ht="17.25" customHeight="1">
      <c r="A131" s="389">
        <v>7130600023</v>
      </c>
      <c r="B131" s="387" t="s">
        <v>981</v>
      </c>
      <c r="C131" s="385" t="s">
        <v>1090</v>
      </c>
      <c r="D131" s="388">
        <v>33236</v>
      </c>
      <c r="E131" s="378" t="s">
        <v>213</v>
      </c>
    </row>
    <row r="132" spans="1:5" ht="17.25" customHeight="1">
      <c r="A132" s="389">
        <v>7130600032</v>
      </c>
      <c r="B132" s="387" t="s">
        <v>980</v>
      </c>
      <c r="C132" s="385" t="s">
        <v>1090</v>
      </c>
      <c r="D132" s="388">
        <v>33236</v>
      </c>
      <c r="E132" s="378" t="s">
        <v>214</v>
      </c>
    </row>
    <row r="133" spans="1:5" ht="17.25" customHeight="1">
      <c r="A133" s="389">
        <v>7130600051</v>
      </c>
      <c r="B133" s="387" t="s">
        <v>1072</v>
      </c>
      <c r="C133" s="385" t="s">
        <v>1090</v>
      </c>
      <c r="D133" s="388">
        <v>33236</v>
      </c>
      <c r="E133" s="378" t="s">
        <v>215</v>
      </c>
    </row>
    <row r="134" spans="1:6" ht="25.5" hidden="1">
      <c r="A134" s="511">
        <v>7130600075</v>
      </c>
      <c r="B134" s="502" t="s">
        <v>1908</v>
      </c>
      <c r="C134" s="492" t="s">
        <v>1611</v>
      </c>
      <c r="D134" s="499" t="s">
        <v>540</v>
      </c>
      <c r="E134" s="555" t="s">
        <v>274</v>
      </c>
      <c r="F134" s="781"/>
    </row>
    <row r="135" spans="1:5" ht="12.75">
      <c r="A135" s="385">
        <v>7130600166</v>
      </c>
      <c r="B135" s="387" t="s">
        <v>977</v>
      </c>
      <c r="C135" s="385" t="s">
        <v>1090</v>
      </c>
      <c r="D135" s="388">
        <v>33236</v>
      </c>
      <c r="E135" s="378" t="s">
        <v>275</v>
      </c>
    </row>
    <row r="136" spans="1:5" ht="12.75">
      <c r="A136" s="391">
        <v>7130600173</v>
      </c>
      <c r="B136" s="387" t="s">
        <v>979</v>
      </c>
      <c r="C136" s="385" t="s">
        <v>1090</v>
      </c>
      <c r="D136" s="388">
        <v>34149</v>
      </c>
      <c r="E136" s="378" t="s">
        <v>276</v>
      </c>
    </row>
    <row r="137" spans="1:5" ht="21" customHeight="1">
      <c r="A137" s="385">
        <v>7130600230</v>
      </c>
      <c r="B137" s="387" t="s">
        <v>976</v>
      </c>
      <c r="C137" s="385" t="s">
        <v>1090</v>
      </c>
      <c r="D137" s="388">
        <v>33236</v>
      </c>
      <c r="E137" s="378" t="s">
        <v>2264</v>
      </c>
    </row>
    <row r="138" spans="1:5" ht="22.5" customHeight="1">
      <c r="A138" s="385">
        <v>7130600495</v>
      </c>
      <c r="B138" s="387" t="s">
        <v>978</v>
      </c>
      <c r="C138" s="385" t="s">
        <v>1090</v>
      </c>
      <c r="D138" s="388">
        <v>34149</v>
      </c>
      <c r="E138" s="378" t="s">
        <v>2265</v>
      </c>
    </row>
    <row r="139" spans="1:5" ht="15" customHeight="1">
      <c r="A139" s="386">
        <v>7130600635</v>
      </c>
      <c r="B139" s="380" t="s">
        <v>1095</v>
      </c>
      <c r="C139" s="381" t="s">
        <v>1090</v>
      </c>
      <c r="D139" s="383">
        <v>28651</v>
      </c>
      <c r="E139" s="378" t="s">
        <v>2266</v>
      </c>
    </row>
    <row r="140" spans="1:5" ht="12.75" customHeight="1">
      <c r="A140" s="386">
        <v>7130600675</v>
      </c>
      <c r="B140" s="380" t="s">
        <v>1094</v>
      </c>
      <c r="C140" s="381" t="s">
        <v>1090</v>
      </c>
      <c r="D140" s="383">
        <v>32575</v>
      </c>
      <c r="E140" s="378" t="s">
        <v>2267</v>
      </c>
    </row>
    <row r="141" spans="1:5" ht="12.75">
      <c r="A141" s="386">
        <v>7130601070</v>
      </c>
      <c r="B141" s="390" t="s">
        <v>1089</v>
      </c>
      <c r="C141" s="381" t="s">
        <v>1090</v>
      </c>
      <c r="D141" s="383">
        <v>47797</v>
      </c>
      <c r="E141" s="378" t="s">
        <v>2268</v>
      </c>
    </row>
    <row r="142" spans="1:5" ht="12.75">
      <c r="A142" s="386">
        <v>7130601072</v>
      </c>
      <c r="B142" s="390" t="s">
        <v>1091</v>
      </c>
      <c r="C142" s="381" t="s">
        <v>1090</v>
      </c>
      <c r="D142" s="383">
        <v>47797</v>
      </c>
      <c r="E142" s="378" t="s">
        <v>2269</v>
      </c>
    </row>
    <row r="143" spans="1:5" ht="12.75">
      <c r="A143" s="386">
        <v>7130601958</v>
      </c>
      <c r="B143" s="380" t="s">
        <v>1092</v>
      </c>
      <c r="C143" s="381" t="s">
        <v>1090</v>
      </c>
      <c r="D143" s="383">
        <v>32575</v>
      </c>
      <c r="E143" s="378" t="s">
        <v>586</v>
      </c>
    </row>
    <row r="144" spans="1:5" ht="12.75">
      <c r="A144" s="386">
        <v>7130601965</v>
      </c>
      <c r="B144" s="380" t="s">
        <v>1093</v>
      </c>
      <c r="C144" s="381" t="s">
        <v>1090</v>
      </c>
      <c r="D144" s="383">
        <v>32575</v>
      </c>
      <c r="E144" s="378" t="s">
        <v>587</v>
      </c>
    </row>
    <row r="145" spans="1:5" ht="12.75">
      <c r="A145" s="389">
        <v>7130610206</v>
      </c>
      <c r="B145" s="387" t="s">
        <v>1088</v>
      </c>
      <c r="C145" s="385" t="s">
        <v>1090</v>
      </c>
      <c r="D145" s="388">
        <v>63963</v>
      </c>
      <c r="E145" s="378" t="s">
        <v>588</v>
      </c>
    </row>
    <row r="146" spans="1:5" ht="15.75" customHeight="1">
      <c r="A146" s="389">
        <v>7130620013</v>
      </c>
      <c r="B146" s="387" t="s">
        <v>2127</v>
      </c>
      <c r="C146" s="385" t="s">
        <v>83</v>
      </c>
      <c r="D146" s="388">
        <v>116.46</v>
      </c>
      <c r="E146" s="378" t="s">
        <v>589</v>
      </c>
    </row>
    <row r="147" spans="1:5" ht="15.75" customHeight="1">
      <c r="A147" s="391">
        <v>7130620049</v>
      </c>
      <c r="B147" s="387" t="s">
        <v>1942</v>
      </c>
      <c r="C147" s="385" t="s">
        <v>1576</v>
      </c>
      <c r="D147" s="388">
        <v>63</v>
      </c>
      <c r="E147" s="378"/>
    </row>
    <row r="148" spans="1:5" ht="12.75">
      <c r="A148" s="385">
        <v>7130620133</v>
      </c>
      <c r="B148" s="387" t="s">
        <v>56</v>
      </c>
      <c r="C148" s="385" t="s">
        <v>1576</v>
      </c>
      <c r="D148" s="388">
        <v>87</v>
      </c>
      <c r="E148" s="378" t="s">
        <v>590</v>
      </c>
    </row>
    <row r="149" spans="1:5" ht="15.75" customHeight="1">
      <c r="A149" s="385">
        <v>7130620140</v>
      </c>
      <c r="B149" s="387" t="s">
        <v>2106</v>
      </c>
      <c r="C149" s="385" t="s">
        <v>1576</v>
      </c>
      <c r="D149" s="388">
        <v>87</v>
      </c>
      <c r="E149" s="378" t="s">
        <v>591</v>
      </c>
    </row>
    <row r="150" spans="1:5" ht="21" customHeight="1">
      <c r="A150" s="385">
        <v>7130620573</v>
      </c>
      <c r="B150" s="387" t="s">
        <v>592</v>
      </c>
      <c r="C150" s="385" t="s">
        <v>1576</v>
      </c>
      <c r="D150" s="388">
        <v>63</v>
      </c>
      <c r="E150" s="378" t="s">
        <v>2165</v>
      </c>
    </row>
    <row r="151" spans="1:5" ht="17.25" customHeight="1">
      <c r="A151" s="389">
        <v>7130620575</v>
      </c>
      <c r="B151" s="387" t="s">
        <v>1943</v>
      </c>
      <c r="C151" s="385" t="s">
        <v>1576</v>
      </c>
      <c r="D151" s="388">
        <v>64</v>
      </c>
      <c r="E151" s="378" t="s">
        <v>2166</v>
      </c>
    </row>
    <row r="152" spans="1:5" ht="17.25" customHeight="1">
      <c r="A152" s="389">
        <v>7130620577</v>
      </c>
      <c r="B152" s="387" t="s">
        <v>1944</v>
      </c>
      <c r="C152" s="385" t="s">
        <v>1576</v>
      </c>
      <c r="D152" s="388">
        <v>64</v>
      </c>
      <c r="E152" s="378" t="s">
        <v>2167</v>
      </c>
    </row>
    <row r="153" spans="1:5" ht="16.5" customHeight="1">
      <c r="A153" s="389">
        <v>7130620609</v>
      </c>
      <c r="B153" s="387" t="s">
        <v>56</v>
      </c>
      <c r="C153" s="385" t="s">
        <v>1576</v>
      </c>
      <c r="D153" s="388">
        <v>63</v>
      </c>
      <c r="E153" s="378" t="s">
        <v>2168</v>
      </c>
    </row>
    <row r="154" spans="1:5" ht="17.25" customHeight="1">
      <c r="A154" s="389">
        <v>7130620614</v>
      </c>
      <c r="B154" s="387" t="s">
        <v>2106</v>
      </c>
      <c r="C154" s="385" t="s">
        <v>1576</v>
      </c>
      <c r="D154" s="388">
        <v>62</v>
      </c>
      <c r="E154" s="378" t="s">
        <v>381</v>
      </c>
    </row>
    <row r="155" spans="1:5" ht="17.25" customHeight="1">
      <c r="A155" s="389">
        <v>7130620619</v>
      </c>
      <c r="B155" s="387" t="s">
        <v>2107</v>
      </c>
      <c r="C155" s="385" t="s">
        <v>1576</v>
      </c>
      <c r="D155" s="388">
        <v>62</v>
      </c>
      <c r="E155" s="378" t="s">
        <v>382</v>
      </c>
    </row>
    <row r="156" spans="1:5" ht="17.25" customHeight="1">
      <c r="A156" s="389">
        <v>7130620621</v>
      </c>
      <c r="B156" s="387" t="s">
        <v>1945</v>
      </c>
      <c r="C156" s="385" t="s">
        <v>1576</v>
      </c>
      <c r="D156" s="388">
        <v>61</v>
      </c>
      <c r="E156" s="378" t="s">
        <v>383</v>
      </c>
    </row>
    <row r="157" spans="1:5" ht="17.25" customHeight="1">
      <c r="A157" s="389">
        <v>7130620625</v>
      </c>
      <c r="B157" s="387" t="s">
        <v>2108</v>
      </c>
      <c r="C157" s="385" t="s">
        <v>1576</v>
      </c>
      <c r="D157" s="388">
        <v>61</v>
      </c>
      <c r="E157" s="378" t="s">
        <v>384</v>
      </c>
    </row>
    <row r="158" spans="1:5" ht="17.25" customHeight="1">
      <c r="A158" s="389">
        <v>7130620627</v>
      </c>
      <c r="B158" s="387" t="s">
        <v>2109</v>
      </c>
      <c r="C158" s="385" t="s">
        <v>1576</v>
      </c>
      <c r="D158" s="388">
        <v>61</v>
      </c>
      <c r="E158" s="378" t="s">
        <v>385</v>
      </c>
    </row>
    <row r="159" spans="1:5" ht="17.25" customHeight="1">
      <c r="A159" s="389">
        <v>7130620631</v>
      </c>
      <c r="B159" s="387" t="s">
        <v>2121</v>
      </c>
      <c r="C159" s="385" t="s">
        <v>1576</v>
      </c>
      <c r="D159" s="388">
        <v>61</v>
      </c>
      <c r="E159" s="378" t="s">
        <v>386</v>
      </c>
    </row>
    <row r="160" spans="1:5" ht="17.25" customHeight="1">
      <c r="A160" s="389">
        <v>7130620636</v>
      </c>
      <c r="B160" s="387" t="s">
        <v>1947</v>
      </c>
      <c r="C160" s="385" t="s">
        <v>1576</v>
      </c>
      <c r="D160" s="388">
        <v>61</v>
      </c>
      <c r="E160" s="378" t="s">
        <v>387</v>
      </c>
    </row>
    <row r="161" spans="1:5" ht="17.25" customHeight="1">
      <c r="A161" s="389">
        <v>7130620637</v>
      </c>
      <c r="B161" s="387" t="s">
        <v>1946</v>
      </c>
      <c r="C161" s="385" t="s">
        <v>1576</v>
      </c>
      <c r="D161" s="388">
        <v>61</v>
      </c>
      <c r="E161" s="378" t="s">
        <v>388</v>
      </c>
    </row>
    <row r="162" spans="1:5" ht="17.25" customHeight="1">
      <c r="A162" s="389">
        <v>7130620713</v>
      </c>
      <c r="B162" s="387" t="s">
        <v>1948</v>
      </c>
      <c r="C162" s="385" t="s">
        <v>1576</v>
      </c>
      <c r="D162" s="388">
        <v>61</v>
      </c>
      <c r="E162" s="378" t="s">
        <v>389</v>
      </c>
    </row>
    <row r="163" spans="1:5" ht="18.75" customHeight="1">
      <c r="A163" s="389">
        <v>7130620716</v>
      </c>
      <c r="B163" s="387" t="s">
        <v>1949</v>
      </c>
      <c r="C163" s="385" t="s">
        <v>1576</v>
      </c>
      <c r="D163" s="388">
        <v>61</v>
      </c>
      <c r="E163" s="378" t="s">
        <v>390</v>
      </c>
    </row>
    <row r="164" spans="1:8" ht="18.75" customHeight="1">
      <c r="A164" s="389">
        <v>7130620719</v>
      </c>
      <c r="B164" s="387" t="s">
        <v>1950</v>
      </c>
      <c r="C164" s="385" t="s">
        <v>1576</v>
      </c>
      <c r="D164" s="388">
        <v>61</v>
      </c>
      <c r="E164" s="378" t="s">
        <v>391</v>
      </c>
      <c r="G164" s="145"/>
      <c r="H164" s="145"/>
    </row>
    <row r="165" spans="1:8" ht="18.75" customHeight="1">
      <c r="A165" s="389">
        <v>7130620829</v>
      </c>
      <c r="B165" s="387" t="s">
        <v>1951</v>
      </c>
      <c r="C165" s="385" t="s">
        <v>1576</v>
      </c>
      <c r="D165" s="388">
        <v>61</v>
      </c>
      <c r="E165" s="378" t="s">
        <v>392</v>
      </c>
      <c r="G165" s="145"/>
      <c r="H165" s="145"/>
    </row>
    <row r="166" spans="1:8" ht="18.75" customHeight="1">
      <c r="A166" s="389">
        <v>7130621892</v>
      </c>
      <c r="B166" s="387" t="s">
        <v>2128</v>
      </c>
      <c r="C166" s="385" t="s">
        <v>83</v>
      </c>
      <c r="D166" s="388">
        <v>389.83</v>
      </c>
      <c r="E166" s="378" t="s">
        <v>393</v>
      </c>
      <c r="G166" s="145"/>
      <c r="H166" s="145"/>
    </row>
    <row r="167" spans="1:5" ht="25.5" customHeight="1">
      <c r="A167" s="377">
        <v>7130622922</v>
      </c>
      <c r="B167" s="392" t="s">
        <v>1952</v>
      </c>
      <c r="C167" s="385" t="s">
        <v>1576</v>
      </c>
      <c r="D167" s="388">
        <v>125</v>
      </c>
      <c r="E167" s="378" t="s">
        <v>394</v>
      </c>
    </row>
    <row r="168" spans="1:7" ht="25.5">
      <c r="A168" s="393">
        <v>7130640027</v>
      </c>
      <c r="B168" s="403" t="s">
        <v>1176</v>
      </c>
      <c r="C168" s="411" t="s">
        <v>1740</v>
      </c>
      <c r="D168" s="388">
        <v>929</v>
      </c>
      <c r="E168" s="378" t="s">
        <v>2076</v>
      </c>
      <c r="G168" s="97"/>
    </row>
    <row r="169" spans="1:7" ht="20.25" customHeight="1">
      <c r="A169" s="393">
        <v>7130640028</v>
      </c>
      <c r="B169" s="403" t="s">
        <v>1533</v>
      </c>
      <c r="C169" s="411" t="s">
        <v>1756</v>
      </c>
      <c r="D169" s="388">
        <v>805</v>
      </c>
      <c r="E169" s="378" t="s">
        <v>2077</v>
      </c>
      <c r="G169" s="97"/>
    </row>
    <row r="170" spans="1:7" ht="25.5">
      <c r="A170" s="391">
        <v>7130640029</v>
      </c>
      <c r="B170" s="403" t="s">
        <v>1177</v>
      </c>
      <c r="C170" s="411" t="s">
        <v>1571</v>
      </c>
      <c r="D170" s="388">
        <v>3220</v>
      </c>
      <c r="E170" s="378" t="s">
        <v>2078</v>
      </c>
      <c r="G170" s="97"/>
    </row>
    <row r="171" spans="1:7" ht="12.75">
      <c r="A171" s="393">
        <v>7130640030</v>
      </c>
      <c r="B171" s="378" t="s">
        <v>72</v>
      </c>
      <c r="C171" s="377" t="s">
        <v>1611</v>
      </c>
      <c r="D171" s="396">
        <v>3857</v>
      </c>
      <c r="E171" s="378"/>
      <c r="G171" s="97"/>
    </row>
    <row r="172" spans="1:7" ht="12.75">
      <c r="A172" s="393">
        <v>7130640036</v>
      </c>
      <c r="B172" s="378" t="s">
        <v>73</v>
      </c>
      <c r="C172" s="377" t="s">
        <v>1611</v>
      </c>
      <c r="D172" s="396">
        <v>7661</v>
      </c>
      <c r="E172" s="378" t="s">
        <v>2079</v>
      </c>
      <c r="G172" s="97"/>
    </row>
    <row r="173" spans="1:5" ht="25.5">
      <c r="A173" s="393">
        <v>7130640037</v>
      </c>
      <c r="B173" s="392" t="s">
        <v>1422</v>
      </c>
      <c r="C173" s="385" t="s">
        <v>861</v>
      </c>
      <c r="D173" s="396">
        <v>862</v>
      </c>
      <c r="E173" s="378" t="s">
        <v>2080</v>
      </c>
    </row>
    <row r="174" spans="1:5" ht="18.75" customHeight="1">
      <c r="A174" s="377">
        <v>7130641396</v>
      </c>
      <c r="B174" s="392" t="s">
        <v>1953</v>
      </c>
      <c r="C174" s="377" t="s">
        <v>1954</v>
      </c>
      <c r="D174" s="396">
        <v>179</v>
      </c>
      <c r="E174" s="378" t="s">
        <v>2081</v>
      </c>
    </row>
    <row r="175" spans="1:5" ht="51">
      <c r="A175" s="406">
        <v>7130642039</v>
      </c>
      <c r="B175" s="387" t="s">
        <v>1853</v>
      </c>
      <c r="C175" s="385" t="s">
        <v>83</v>
      </c>
      <c r="D175" s="388">
        <v>770</v>
      </c>
      <c r="E175" s="378" t="s">
        <v>2082</v>
      </c>
    </row>
    <row r="176" spans="1:5" ht="25.5">
      <c r="A176" s="406">
        <v>7130642041</v>
      </c>
      <c r="B176" s="387" t="s">
        <v>1455</v>
      </c>
      <c r="C176" s="385" t="s">
        <v>83</v>
      </c>
      <c r="D176" s="388">
        <v>3914</v>
      </c>
      <c r="E176" s="378" t="s">
        <v>246</v>
      </c>
    </row>
    <row r="177" spans="1:7" ht="80.25" customHeight="1">
      <c r="A177" s="393">
        <v>7130650001</v>
      </c>
      <c r="B177" s="392" t="s">
        <v>2295</v>
      </c>
      <c r="C177" s="377" t="s">
        <v>2296</v>
      </c>
      <c r="D177" s="396">
        <v>1131</v>
      </c>
      <c r="E177" s="554"/>
      <c r="G177" s="97"/>
    </row>
    <row r="178" spans="1:7" ht="27" customHeight="1">
      <c r="A178" s="393">
        <v>7130670027</v>
      </c>
      <c r="B178" s="395" t="s">
        <v>2218</v>
      </c>
      <c r="C178" s="377" t="s">
        <v>1756</v>
      </c>
      <c r="D178" s="396">
        <v>119</v>
      </c>
      <c r="E178" s="554"/>
      <c r="G178" s="97"/>
    </row>
    <row r="179" spans="1:7" ht="41.25" customHeight="1">
      <c r="A179" s="393">
        <v>7130797532</v>
      </c>
      <c r="B179" s="392" t="s">
        <v>982</v>
      </c>
      <c r="C179" s="377" t="s">
        <v>1756</v>
      </c>
      <c r="D179" s="396">
        <v>599</v>
      </c>
      <c r="E179" s="378" t="s">
        <v>247</v>
      </c>
      <c r="G179" s="97"/>
    </row>
    <row r="180" spans="1:7" ht="41.25" customHeight="1">
      <c r="A180" s="393">
        <v>7130797533</v>
      </c>
      <c r="B180" s="392" t="s">
        <v>105</v>
      </c>
      <c r="C180" s="377" t="s">
        <v>1756</v>
      </c>
      <c r="D180" s="396">
        <v>435</v>
      </c>
      <c r="E180" s="378" t="s">
        <v>248</v>
      </c>
      <c r="G180" s="97"/>
    </row>
    <row r="181" spans="1:6" ht="27" customHeight="1" hidden="1">
      <c r="A181" s="494">
        <v>7130797533</v>
      </c>
      <c r="B181" s="493" t="s">
        <v>2293</v>
      </c>
      <c r="C181" s="494" t="s">
        <v>1611</v>
      </c>
      <c r="D181" s="495" t="s">
        <v>541</v>
      </c>
      <c r="E181" s="555" t="s">
        <v>248</v>
      </c>
      <c r="F181" s="422"/>
    </row>
    <row r="182" spans="1:5" ht="15" customHeight="1">
      <c r="A182" s="389">
        <v>7130800012</v>
      </c>
      <c r="B182" s="387" t="s">
        <v>1096</v>
      </c>
      <c r="C182" s="385" t="s">
        <v>1611</v>
      </c>
      <c r="D182" s="388">
        <v>1659</v>
      </c>
      <c r="E182" s="378" t="s">
        <v>249</v>
      </c>
    </row>
    <row r="183" spans="1:5" ht="15" customHeight="1">
      <c r="A183" s="393">
        <v>7130800014</v>
      </c>
      <c r="B183" s="392" t="s">
        <v>1919</v>
      </c>
      <c r="C183" s="377" t="s">
        <v>1611</v>
      </c>
      <c r="D183" s="396">
        <v>6015</v>
      </c>
      <c r="E183" s="378"/>
    </row>
    <row r="184" spans="1:5" ht="15" customHeight="1">
      <c r="A184" s="389">
        <v>7130800033</v>
      </c>
      <c r="B184" s="387" t="s">
        <v>923</v>
      </c>
      <c r="C184" s="385" t="s">
        <v>1611</v>
      </c>
      <c r="D184" s="388">
        <v>2993</v>
      </c>
      <c r="E184" s="378" t="s">
        <v>250</v>
      </c>
    </row>
    <row r="185" spans="1:5" ht="15.75" customHeight="1">
      <c r="A185" s="377">
        <v>7130800068</v>
      </c>
      <c r="B185" s="392" t="s">
        <v>1918</v>
      </c>
      <c r="C185" s="377" t="s">
        <v>1611</v>
      </c>
      <c r="D185" s="396">
        <v>10079</v>
      </c>
      <c r="E185" s="378" t="s">
        <v>251</v>
      </c>
    </row>
    <row r="186" spans="1:5" ht="17.25" customHeight="1">
      <c r="A186" s="389">
        <v>7130800672</v>
      </c>
      <c r="B186" s="387" t="s">
        <v>975</v>
      </c>
      <c r="C186" s="385" t="s">
        <v>1611</v>
      </c>
      <c r="D186" s="388">
        <v>2623</v>
      </c>
      <c r="E186" s="378" t="s">
        <v>252</v>
      </c>
    </row>
    <row r="187" spans="1:5" ht="18" customHeight="1">
      <c r="A187" s="389">
        <v>7130810005</v>
      </c>
      <c r="B187" s="387" t="s">
        <v>2129</v>
      </c>
      <c r="C187" s="385" t="s">
        <v>83</v>
      </c>
      <c r="D187" s="388">
        <v>81.91</v>
      </c>
      <c r="E187" s="378" t="s">
        <v>253</v>
      </c>
    </row>
    <row r="188" spans="1:5" ht="15.75" customHeight="1">
      <c r="A188" s="389">
        <v>7130810006</v>
      </c>
      <c r="B188" s="387" t="s">
        <v>254</v>
      </c>
      <c r="C188" s="385" t="s">
        <v>1330</v>
      </c>
      <c r="D188" s="388">
        <v>5626.81</v>
      </c>
      <c r="E188" s="378" t="s">
        <v>254</v>
      </c>
    </row>
    <row r="189" spans="1:5" ht="16.5" customHeight="1">
      <c r="A189" s="389">
        <v>7130810026</v>
      </c>
      <c r="B189" s="387" t="s">
        <v>2130</v>
      </c>
      <c r="C189" s="385" t="s">
        <v>1324</v>
      </c>
      <c r="D189" s="388">
        <v>120.59</v>
      </c>
      <c r="E189" s="378" t="s">
        <v>255</v>
      </c>
    </row>
    <row r="190" spans="1:5" ht="15.75" customHeight="1">
      <c r="A190" s="389">
        <v>7130810026</v>
      </c>
      <c r="B190" s="387" t="s">
        <v>2223</v>
      </c>
      <c r="C190" s="385" t="s">
        <v>1324</v>
      </c>
      <c r="D190" s="388">
        <v>225.04</v>
      </c>
      <c r="E190" s="378" t="s">
        <v>255</v>
      </c>
    </row>
    <row r="191" spans="1:5" ht="15" customHeight="1">
      <c r="A191" s="389">
        <v>7130810060</v>
      </c>
      <c r="B191" s="387" t="s">
        <v>256</v>
      </c>
      <c r="C191" s="385" t="s">
        <v>1331</v>
      </c>
      <c r="D191" s="388">
        <v>60.29</v>
      </c>
      <c r="E191" s="378" t="s">
        <v>256</v>
      </c>
    </row>
    <row r="192" spans="1:5" ht="14.25" customHeight="1">
      <c r="A192" s="393">
        <v>7130810076</v>
      </c>
      <c r="B192" s="387" t="s">
        <v>670</v>
      </c>
      <c r="C192" s="385" t="s">
        <v>1331</v>
      </c>
      <c r="D192" s="388">
        <v>57</v>
      </c>
      <c r="E192" s="378" t="s">
        <v>2224</v>
      </c>
    </row>
    <row r="193" spans="1:7" ht="15.75" customHeight="1">
      <c r="A193" s="393">
        <v>7130810077</v>
      </c>
      <c r="B193" s="403" t="s">
        <v>2229</v>
      </c>
      <c r="C193" s="404" t="s">
        <v>1331</v>
      </c>
      <c r="D193" s="388">
        <v>394</v>
      </c>
      <c r="E193" s="378" t="s">
        <v>257</v>
      </c>
      <c r="G193" s="97"/>
    </row>
    <row r="194" spans="1:7" ht="16.5" customHeight="1">
      <c r="A194" s="377">
        <v>7130810102</v>
      </c>
      <c r="B194" s="392" t="s">
        <v>1308</v>
      </c>
      <c r="C194" s="404" t="s">
        <v>1331</v>
      </c>
      <c r="D194" s="388">
        <v>349</v>
      </c>
      <c r="E194" s="378" t="s">
        <v>258</v>
      </c>
      <c r="G194" s="97"/>
    </row>
    <row r="195" spans="1:5" ht="14.25" customHeight="1">
      <c r="A195" s="377">
        <v>7130810193</v>
      </c>
      <c r="B195" s="392" t="s">
        <v>2099</v>
      </c>
      <c r="C195" s="404" t="s">
        <v>1324</v>
      </c>
      <c r="D195" s="388">
        <v>225.04</v>
      </c>
      <c r="E195" s="378" t="s">
        <v>259</v>
      </c>
    </row>
    <row r="196" spans="1:5" ht="15" customHeight="1">
      <c r="A196" s="377">
        <v>7130810201</v>
      </c>
      <c r="B196" s="392" t="s">
        <v>2100</v>
      </c>
      <c r="C196" s="404" t="s">
        <v>1324</v>
      </c>
      <c r="D196" s="388">
        <v>239.47</v>
      </c>
      <c r="E196" s="378" t="s">
        <v>260</v>
      </c>
    </row>
    <row r="197" spans="1:5" ht="18" customHeight="1">
      <c r="A197" s="377">
        <v>7130810216</v>
      </c>
      <c r="B197" s="392" t="s">
        <v>2101</v>
      </c>
      <c r="C197" s="404" t="s">
        <v>1324</v>
      </c>
      <c r="D197" s="388">
        <v>239.47</v>
      </c>
      <c r="E197" s="378" t="s">
        <v>261</v>
      </c>
    </row>
    <row r="198" spans="1:5" ht="17.25" customHeight="1">
      <c r="A198" s="377">
        <v>7130810251</v>
      </c>
      <c r="B198" s="392" t="s">
        <v>665</v>
      </c>
      <c r="C198" s="404" t="s">
        <v>1324</v>
      </c>
      <c r="D198" s="388">
        <v>239.47</v>
      </c>
      <c r="E198" s="378" t="s">
        <v>262</v>
      </c>
    </row>
    <row r="199" spans="1:5" ht="17.25" customHeight="1">
      <c r="A199" s="377">
        <v>7130810361</v>
      </c>
      <c r="B199" s="392" t="s">
        <v>666</v>
      </c>
      <c r="C199" s="404" t="s">
        <v>1324</v>
      </c>
      <c r="D199" s="388">
        <v>239.47</v>
      </c>
      <c r="E199" s="378" t="s">
        <v>263</v>
      </c>
    </row>
    <row r="200" spans="1:5" ht="17.25" customHeight="1">
      <c r="A200" s="377">
        <v>7130810413</v>
      </c>
      <c r="B200" s="392" t="s">
        <v>667</v>
      </c>
      <c r="C200" s="404" t="s">
        <v>1331</v>
      </c>
      <c r="D200" s="388">
        <v>510.78</v>
      </c>
      <c r="E200" s="378" t="s">
        <v>264</v>
      </c>
    </row>
    <row r="201" spans="1:5" ht="17.25" customHeight="1">
      <c r="A201" s="377">
        <v>7130810441</v>
      </c>
      <c r="B201" s="392" t="s">
        <v>668</v>
      </c>
      <c r="C201" s="404" t="s">
        <v>1331</v>
      </c>
      <c r="D201" s="388">
        <v>608.3</v>
      </c>
      <c r="E201" s="378" t="s">
        <v>265</v>
      </c>
    </row>
    <row r="202" spans="1:5" ht="17.25" customHeight="1">
      <c r="A202" s="377">
        <v>7130810461</v>
      </c>
      <c r="B202" s="392" t="s">
        <v>538</v>
      </c>
      <c r="C202" s="404" t="s">
        <v>1331</v>
      </c>
      <c r="D202" s="388">
        <v>705.83</v>
      </c>
      <c r="E202" s="378" t="s">
        <v>266</v>
      </c>
    </row>
    <row r="203" spans="1:5" ht="17.25" customHeight="1">
      <c r="A203" s="377">
        <v>7130810495</v>
      </c>
      <c r="B203" s="392" t="s">
        <v>539</v>
      </c>
      <c r="C203" s="404" t="s">
        <v>1331</v>
      </c>
      <c r="D203" s="388">
        <v>866.17</v>
      </c>
      <c r="E203" s="378" t="s">
        <v>267</v>
      </c>
    </row>
    <row r="204" spans="1:5" ht="17.25" customHeight="1">
      <c r="A204" s="377">
        <v>7130810509</v>
      </c>
      <c r="B204" s="392" t="s">
        <v>2255</v>
      </c>
      <c r="C204" s="404" t="s">
        <v>1331</v>
      </c>
      <c r="D204" s="388">
        <v>6483.89</v>
      </c>
      <c r="E204" s="378" t="s">
        <v>268</v>
      </c>
    </row>
    <row r="205" spans="1:5" ht="17.25" customHeight="1">
      <c r="A205" s="377">
        <v>7130810509</v>
      </c>
      <c r="B205" s="392" t="s">
        <v>2257</v>
      </c>
      <c r="C205" s="404" t="s">
        <v>1331</v>
      </c>
      <c r="D205" s="388">
        <v>2745.63</v>
      </c>
      <c r="E205" s="378" t="s">
        <v>268</v>
      </c>
    </row>
    <row r="206" spans="1:5" ht="17.25" customHeight="1">
      <c r="A206" s="377">
        <v>7130810511</v>
      </c>
      <c r="B206" s="392" t="s">
        <v>2256</v>
      </c>
      <c r="C206" s="404" t="s">
        <v>1330</v>
      </c>
      <c r="D206" s="388">
        <v>2053.85</v>
      </c>
      <c r="E206" s="378" t="s">
        <v>269</v>
      </c>
    </row>
    <row r="207" spans="1:5" ht="26.25" customHeight="1">
      <c r="A207" s="377">
        <v>7130810512</v>
      </c>
      <c r="B207" s="392" t="s">
        <v>2258</v>
      </c>
      <c r="C207" s="404" t="s">
        <v>1330</v>
      </c>
      <c r="D207" s="388">
        <v>3256.41</v>
      </c>
      <c r="E207" s="378" t="s">
        <v>270</v>
      </c>
    </row>
    <row r="208" spans="1:5" ht="25.5">
      <c r="A208" s="377">
        <v>7130810512</v>
      </c>
      <c r="B208" s="392" t="s">
        <v>2259</v>
      </c>
      <c r="C208" s="404" t="s">
        <v>1330</v>
      </c>
      <c r="D208" s="388">
        <v>2365.44</v>
      </c>
      <c r="E208" s="378" t="s">
        <v>270</v>
      </c>
    </row>
    <row r="209" spans="1:5" ht="25.5">
      <c r="A209" s="377">
        <v>7130810512</v>
      </c>
      <c r="B209" s="392" t="s">
        <v>1985</v>
      </c>
      <c r="C209" s="404" t="s">
        <v>1330</v>
      </c>
      <c r="D209" s="388">
        <v>3324.18</v>
      </c>
      <c r="E209" s="378" t="s">
        <v>270</v>
      </c>
    </row>
    <row r="210" spans="1:5" ht="25.5">
      <c r="A210" s="377">
        <v>7130810517</v>
      </c>
      <c r="B210" s="392" t="s">
        <v>1986</v>
      </c>
      <c r="C210" s="404" t="s">
        <v>1330</v>
      </c>
      <c r="D210" s="388">
        <v>3758.1</v>
      </c>
      <c r="E210" s="378" t="s">
        <v>2048</v>
      </c>
    </row>
    <row r="211" spans="1:5" ht="17.25" customHeight="1">
      <c r="A211" s="377">
        <v>7130810595</v>
      </c>
      <c r="B211" s="392" t="s">
        <v>1987</v>
      </c>
      <c r="C211" s="404" t="s">
        <v>1331</v>
      </c>
      <c r="D211" s="388">
        <v>1927.4</v>
      </c>
      <c r="E211" s="378" t="s">
        <v>2049</v>
      </c>
    </row>
    <row r="212" spans="1:5" ht="26.25" customHeight="1">
      <c r="A212" s="377">
        <v>7130810608</v>
      </c>
      <c r="B212" s="392" t="s">
        <v>1988</v>
      </c>
      <c r="C212" s="404" t="s">
        <v>1330</v>
      </c>
      <c r="D212" s="388">
        <v>4444.09</v>
      </c>
      <c r="E212" s="378" t="s">
        <v>2050</v>
      </c>
    </row>
    <row r="213" spans="1:5" ht="17.25" customHeight="1">
      <c r="A213" s="377">
        <v>7130810624</v>
      </c>
      <c r="B213" s="392" t="s">
        <v>1742</v>
      </c>
      <c r="C213" s="404" t="s">
        <v>1331</v>
      </c>
      <c r="D213" s="388">
        <v>75</v>
      </c>
      <c r="E213" s="378" t="s">
        <v>2051</v>
      </c>
    </row>
    <row r="214" spans="1:5" ht="12.75">
      <c r="A214" s="377">
        <v>7130810624</v>
      </c>
      <c r="B214" s="392" t="s">
        <v>68</v>
      </c>
      <c r="C214" s="404" t="s">
        <v>1330</v>
      </c>
      <c r="D214" s="783">
        <v>92.77</v>
      </c>
      <c r="E214" s="378" t="s">
        <v>2051</v>
      </c>
    </row>
    <row r="215" spans="1:5" ht="12.75" customHeight="1">
      <c r="A215" s="377">
        <v>7130810676</v>
      </c>
      <c r="B215" s="392" t="s">
        <v>1989</v>
      </c>
      <c r="C215" s="404" t="s">
        <v>1331</v>
      </c>
      <c r="D215" s="783">
        <v>320.68</v>
      </c>
      <c r="E215" s="378" t="s">
        <v>2052</v>
      </c>
    </row>
    <row r="216" spans="1:5" ht="25.5">
      <c r="A216" s="377">
        <v>7130810679</v>
      </c>
      <c r="B216" s="392" t="s">
        <v>1990</v>
      </c>
      <c r="C216" s="404" t="s">
        <v>1331</v>
      </c>
      <c r="D216" s="783">
        <v>242.99</v>
      </c>
      <c r="E216" s="378" t="s">
        <v>2053</v>
      </c>
    </row>
    <row r="217" spans="1:5" ht="25.5">
      <c r="A217" s="377">
        <v>7130810681</v>
      </c>
      <c r="B217" s="392" t="s">
        <v>603</v>
      </c>
      <c r="C217" s="404" t="s">
        <v>1330</v>
      </c>
      <c r="D217" s="783">
        <v>2667.12</v>
      </c>
      <c r="E217" s="378" t="s">
        <v>2054</v>
      </c>
    </row>
    <row r="218" spans="1:5" ht="12.75">
      <c r="A218" s="377">
        <v>7130810684</v>
      </c>
      <c r="B218" s="392" t="s">
        <v>1907</v>
      </c>
      <c r="C218" s="404" t="s">
        <v>1331</v>
      </c>
      <c r="D218" s="783">
        <v>6989.71</v>
      </c>
      <c r="E218" s="378" t="s">
        <v>2055</v>
      </c>
    </row>
    <row r="219" spans="1:8" ht="12.75">
      <c r="A219" s="377">
        <v>7130810692</v>
      </c>
      <c r="B219" s="392" t="s">
        <v>1991</v>
      </c>
      <c r="C219" s="404" t="s">
        <v>1324</v>
      </c>
      <c r="D219" s="783">
        <v>249.66</v>
      </c>
      <c r="E219" s="378" t="s">
        <v>2056</v>
      </c>
      <c r="F219" s="151"/>
      <c r="G219" s="151"/>
      <c r="H219" s="151"/>
    </row>
    <row r="220" spans="1:5" ht="12.75">
      <c r="A220" s="393">
        <v>7130820008</v>
      </c>
      <c r="B220" s="392" t="s">
        <v>940</v>
      </c>
      <c r="C220" s="388" t="s">
        <v>1611</v>
      </c>
      <c r="D220" s="388">
        <v>202</v>
      </c>
      <c r="E220" s="378" t="s">
        <v>2057</v>
      </c>
    </row>
    <row r="221" spans="1:5" ht="12.75">
      <c r="A221" s="393">
        <v>7130820009</v>
      </c>
      <c r="B221" s="392" t="s">
        <v>939</v>
      </c>
      <c r="C221" s="388" t="s">
        <v>1611</v>
      </c>
      <c r="D221" s="388">
        <v>385</v>
      </c>
      <c r="E221" s="378" t="s">
        <v>2058</v>
      </c>
    </row>
    <row r="222" spans="1:5" ht="12.75">
      <c r="A222" s="393">
        <v>7130820010</v>
      </c>
      <c r="B222" s="392" t="s">
        <v>1037</v>
      </c>
      <c r="C222" s="388" t="s">
        <v>1611</v>
      </c>
      <c r="D222" s="388">
        <v>142</v>
      </c>
      <c r="E222" s="378" t="s">
        <v>2059</v>
      </c>
    </row>
    <row r="223" spans="1:5" ht="12.75">
      <c r="A223" s="393">
        <v>7130820011</v>
      </c>
      <c r="B223" s="392" t="s">
        <v>938</v>
      </c>
      <c r="C223" s="388" t="s">
        <v>1611</v>
      </c>
      <c r="D223" s="388">
        <v>307</v>
      </c>
      <c r="E223" s="378" t="s">
        <v>2060</v>
      </c>
    </row>
    <row r="224" spans="1:5" ht="16.5" customHeight="1">
      <c r="A224" s="389">
        <v>7130820018</v>
      </c>
      <c r="B224" s="387" t="s">
        <v>1366</v>
      </c>
      <c r="C224" s="385" t="s">
        <v>1324</v>
      </c>
      <c r="D224" s="388">
        <v>4</v>
      </c>
      <c r="E224" s="378" t="s">
        <v>2061</v>
      </c>
    </row>
    <row r="225" spans="1:5" ht="16.5" customHeight="1">
      <c r="A225" s="391">
        <v>7130820026</v>
      </c>
      <c r="B225" s="387" t="s">
        <v>1361</v>
      </c>
      <c r="C225" s="385" t="s">
        <v>1756</v>
      </c>
      <c r="D225" s="388">
        <v>428</v>
      </c>
      <c r="E225" s="378" t="s">
        <v>2062</v>
      </c>
    </row>
    <row r="226" spans="1:5" ht="16.5" customHeight="1">
      <c r="A226" s="391">
        <v>7130820027</v>
      </c>
      <c r="B226" s="387" t="s">
        <v>1362</v>
      </c>
      <c r="C226" s="385" t="s">
        <v>1756</v>
      </c>
      <c r="D226" s="388">
        <v>1981</v>
      </c>
      <c r="E226" s="378" t="s">
        <v>2063</v>
      </c>
    </row>
    <row r="227" spans="1:7" ht="16.5" customHeight="1">
      <c r="A227" s="401">
        <v>7130820029</v>
      </c>
      <c r="B227" s="395" t="s">
        <v>403</v>
      </c>
      <c r="C227" s="377" t="s">
        <v>1611</v>
      </c>
      <c r="D227" s="780">
        <v>31</v>
      </c>
      <c r="E227" s="378"/>
      <c r="G227" s="151"/>
    </row>
    <row r="228" spans="1:5" ht="16.5" customHeight="1">
      <c r="A228" s="389">
        <v>7130820030</v>
      </c>
      <c r="B228" s="387" t="s">
        <v>1084</v>
      </c>
      <c r="C228" s="385" t="s">
        <v>1611</v>
      </c>
      <c r="D228" s="388">
        <v>247</v>
      </c>
      <c r="E228" s="378" t="s">
        <v>2064</v>
      </c>
    </row>
    <row r="229" spans="1:7" ht="17.25" customHeight="1">
      <c r="A229" s="389">
        <v>7130820071</v>
      </c>
      <c r="B229" s="387" t="s">
        <v>1085</v>
      </c>
      <c r="C229" s="385" t="s">
        <v>1611</v>
      </c>
      <c r="D229" s="388">
        <v>40</v>
      </c>
      <c r="E229" s="378" t="s">
        <v>681</v>
      </c>
      <c r="G229" s="151"/>
    </row>
    <row r="230" spans="1:5" ht="17.25" customHeight="1">
      <c r="A230" s="389">
        <v>7130820075</v>
      </c>
      <c r="B230" s="387" t="s">
        <v>1086</v>
      </c>
      <c r="C230" s="385" t="s">
        <v>1611</v>
      </c>
      <c r="D230" s="388">
        <v>233</v>
      </c>
      <c r="E230" s="378" t="s">
        <v>2262</v>
      </c>
    </row>
    <row r="231" spans="1:5" ht="18" customHeight="1">
      <c r="A231" s="389">
        <v>7130820101</v>
      </c>
      <c r="B231" s="387" t="s">
        <v>1364</v>
      </c>
      <c r="C231" s="385" t="s">
        <v>1611</v>
      </c>
      <c r="D231" s="388">
        <v>10</v>
      </c>
      <c r="E231" s="378" t="s">
        <v>2263</v>
      </c>
    </row>
    <row r="232" spans="1:5" ht="18" customHeight="1">
      <c r="A232" s="389">
        <v>7130820106</v>
      </c>
      <c r="B232" s="387" t="s">
        <v>1363</v>
      </c>
      <c r="C232" s="385" t="s">
        <v>1611</v>
      </c>
      <c r="D232" s="388">
        <v>11</v>
      </c>
      <c r="E232" s="378" t="s">
        <v>1311</v>
      </c>
    </row>
    <row r="233" spans="1:5" ht="18" customHeight="1">
      <c r="A233" s="389">
        <v>7130820117</v>
      </c>
      <c r="B233" s="387" t="s">
        <v>1365</v>
      </c>
      <c r="C233" s="385" t="s">
        <v>1611</v>
      </c>
      <c r="D233" s="388">
        <v>10</v>
      </c>
      <c r="E233" s="378" t="s">
        <v>1312</v>
      </c>
    </row>
    <row r="234" spans="1:5" ht="18" customHeight="1">
      <c r="A234" s="389">
        <v>7130820155</v>
      </c>
      <c r="B234" s="387" t="s">
        <v>1449</v>
      </c>
      <c r="C234" s="385" t="s">
        <v>1611</v>
      </c>
      <c r="D234" s="388">
        <v>56</v>
      </c>
      <c r="E234" s="378" t="s">
        <v>1313</v>
      </c>
    </row>
    <row r="235" spans="1:5" ht="18" customHeight="1">
      <c r="A235" s="389">
        <v>7130820158</v>
      </c>
      <c r="B235" s="387" t="s">
        <v>1450</v>
      </c>
      <c r="C235" s="385" t="s">
        <v>1611</v>
      </c>
      <c r="D235" s="388">
        <v>187</v>
      </c>
      <c r="E235" s="378" t="s">
        <v>1314</v>
      </c>
    </row>
    <row r="236" spans="1:5" ht="18" customHeight="1">
      <c r="A236" s="389">
        <v>7130820201</v>
      </c>
      <c r="B236" s="387" t="s">
        <v>1156</v>
      </c>
      <c r="C236" s="385" t="s">
        <v>1611</v>
      </c>
      <c r="D236" s="388">
        <v>30</v>
      </c>
      <c r="E236" s="378" t="s">
        <v>1315</v>
      </c>
    </row>
    <row r="237" spans="1:5" ht="18" customHeight="1">
      <c r="A237" s="389">
        <v>7130820206</v>
      </c>
      <c r="B237" s="380" t="s">
        <v>1448</v>
      </c>
      <c r="C237" s="385" t="s">
        <v>1611</v>
      </c>
      <c r="D237" s="388">
        <v>28</v>
      </c>
      <c r="E237" s="378" t="s">
        <v>47</v>
      </c>
    </row>
    <row r="238" spans="1:5" ht="18" customHeight="1">
      <c r="A238" s="389">
        <v>7130820216</v>
      </c>
      <c r="B238" s="380" t="s">
        <v>1447</v>
      </c>
      <c r="C238" s="385" t="s">
        <v>1611</v>
      </c>
      <c r="D238" s="388">
        <v>32</v>
      </c>
      <c r="E238" s="378" t="s">
        <v>332</v>
      </c>
    </row>
    <row r="239" spans="1:5" ht="18" customHeight="1">
      <c r="A239" s="389">
        <v>7130820241</v>
      </c>
      <c r="B239" s="387" t="s">
        <v>941</v>
      </c>
      <c r="C239" s="385" t="s">
        <v>1611</v>
      </c>
      <c r="D239" s="388">
        <v>116</v>
      </c>
      <c r="E239" s="378" t="s">
        <v>333</v>
      </c>
    </row>
    <row r="240" spans="1:5" ht="18" customHeight="1">
      <c r="A240" s="389">
        <v>7130820248</v>
      </c>
      <c r="B240" s="387" t="s">
        <v>942</v>
      </c>
      <c r="C240" s="385" t="s">
        <v>1611</v>
      </c>
      <c r="D240" s="388">
        <v>241</v>
      </c>
      <c r="E240" s="378" t="s">
        <v>334</v>
      </c>
    </row>
    <row r="241" spans="1:5" ht="28.5" customHeight="1">
      <c r="A241" s="394">
        <v>7130820312</v>
      </c>
      <c r="B241" s="387" t="s">
        <v>1281</v>
      </c>
      <c r="C241" s="385" t="s">
        <v>1330</v>
      </c>
      <c r="D241" s="388">
        <v>2065</v>
      </c>
      <c r="E241" s="378" t="s">
        <v>335</v>
      </c>
    </row>
    <row r="242" spans="1:5" ht="19.5" customHeight="1">
      <c r="A242" s="389">
        <v>7130830006</v>
      </c>
      <c r="B242" s="387" t="s">
        <v>1155</v>
      </c>
      <c r="C242" s="385" t="s">
        <v>1576</v>
      </c>
      <c r="D242" s="388">
        <v>130</v>
      </c>
      <c r="E242" s="378" t="s">
        <v>336</v>
      </c>
    </row>
    <row r="243" spans="1:5" ht="29.25" customHeight="1">
      <c r="A243" s="389">
        <v>7130830025</v>
      </c>
      <c r="B243" s="387" t="s">
        <v>1081</v>
      </c>
      <c r="C243" s="385" t="s">
        <v>66</v>
      </c>
      <c r="D243" s="388">
        <v>10485</v>
      </c>
      <c r="E243" s="378" t="s">
        <v>337</v>
      </c>
    </row>
    <row r="244" spans="1:5" ht="28.5" customHeight="1">
      <c r="A244" s="389">
        <v>7130830026</v>
      </c>
      <c r="B244" s="387" t="s">
        <v>1082</v>
      </c>
      <c r="C244" s="385" t="s">
        <v>66</v>
      </c>
      <c r="D244" s="388">
        <v>16361</v>
      </c>
      <c r="E244" s="378" t="s">
        <v>338</v>
      </c>
    </row>
    <row r="245" spans="1:5" ht="30" customHeight="1">
      <c r="A245" s="389">
        <v>7130830027</v>
      </c>
      <c r="B245" s="387" t="s">
        <v>1083</v>
      </c>
      <c r="C245" s="385" t="s">
        <v>66</v>
      </c>
      <c r="D245" s="388">
        <v>25768</v>
      </c>
      <c r="E245" s="378" t="s">
        <v>339</v>
      </c>
    </row>
    <row r="246" spans="1:5" ht="25.5">
      <c r="A246" s="389">
        <v>7130830028</v>
      </c>
      <c r="B246" s="387" t="s">
        <v>1078</v>
      </c>
      <c r="C246" s="385" t="s">
        <v>66</v>
      </c>
      <c r="D246" s="388">
        <v>32132</v>
      </c>
      <c r="E246" s="378" t="s">
        <v>340</v>
      </c>
    </row>
    <row r="247" spans="1:5" ht="27.75" customHeight="1">
      <c r="A247" s="391">
        <v>7130830050</v>
      </c>
      <c r="B247" s="387" t="s">
        <v>2065</v>
      </c>
      <c r="C247" s="385" t="s">
        <v>1611</v>
      </c>
      <c r="D247" s="388">
        <v>30</v>
      </c>
      <c r="E247" s="378" t="s">
        <v>1808</v>
      </c>
    </row>
    <row r="248" spans="1:5" ht="19.5" customHeight="1">
      <c r="A248" s="391">
        <v>7130830051</v>
      </c>
      <c r="B248" s="387" t="s">
        <v>2066</v>
      </c>
      <c r="C248" s="385" t="s">
        <v>1611</v>
      </c>
      <c r="D248" s="388">
        <v>118</v>
      </c>
      <c r="E248" s="378" t="s">
        <v>1809</v>
      </c>
    </row>
    <row r="249" spans="1:5" ht="22.5" customHeight="1">
      <c r="A249" s="397">
        <v>7130830052</v>
      </c>
      <c r="B249" s="387" t="s">
        <v>2067</v>
      </c>
      <c r="C249" s="385" t="s">
        <v>1611</v>
      </c>
      <c r="D249" s="396">
        <v>547</v>
      </c>
      <c r="E249" s="378"/>
    </row>
    <row r="250" spans="1:5" ht="25.5">
      <c r="A250" s="385">
        <v>7130830053</v>
      </c>
      <c r="B250" s="387" t="s">
        <v>1075</v>
      </c>
      <c r="C250" s="385" t="s">
        <v>66</v>
      </c>
      <c r="D250" s="388">
        <v>10968</v>
      </c>
      <c r="E250" s="378" t="s">
        <v>1810</v>
      </c>
    </row>
    <row r="251" spans="1:5" ht="14.25" customHeight="1">
      <c r="A251" s="397">
        <v>7130830054</v>
      </c>
      <c r="B251" s="387" t="s">
        <v>2068</v>
      </c>
      <c r="C251" s="385" t="s">
        <v>1611</v>
      </c>
      <c r="D251" s="396">
        <v>319</v>
      </c>
      <c r="E251" s="378"/>
    </row>
    <row r="252" spans="1:5" ht="25.5">
      <c r="A252" s="385">
        <v>7130830055</v>
      </c>
      <c r="B252" s="387" t="s">
        <v>1076</v>
      </c>
      <c r="C252" s="385" t="s">
        <v>66</v>
      </c>
      <c r="D252" s="388">
        <v>16759</v>
      </c>
      <c r="E252" s="378" t="s">
        <v>1932</v>
      </c>
    </row>
    <row r="253" spans="1:5" ht="12.75">
      <c r="A253" s="397">
        <v>7130830056</v>
      </c>
      <c r="B253" s="387" t="s">
        <v>2069</v>
      </c>
      <c r="C253" s="385" t="s">
        <v>1611</v>
      </c>
      <c r="D253" s="396">
        <v>319</v>
      </c>
      <c r="E253" s="378"/>
    </row>
    <row r="254" spans="1:5" ht="25.5">
      <c r="A254" s="389">
        <v>7130830057</v>
      </c>
      <c r="B254" s="387" t="s">
        <v>1077</v>
      </c>
      <c r="C254" s="385" t="s">
        <v>66</v>
      </c>
      <c r="D254" s="388">
        <v>28440</v>
      </c>
      <c r="E254" s="378" t="s">
        <v>1933</v>
      </c>
    </row>
    <row r="255" spans="1:5" ht="28.5" customHeight="1">
      <c r="A255" s="397">
        <v>7130830058</v>
      </c>
      <c r="B255" s="387" t="s">
        <v>1427</v>
      </c>
      <c r="C255" s="385" t="s">
        <v>1611</v>
      </c>
      <c r="D255" s="396">
        <v>162</v>
      </c>
      <c r="E255" s="554"/>
    </row>
    <row r="256" spans="1:5" ht="25.5">
      <c r="A256" s="389">
        <v>7130830060</v>
      </c>
      <c r="B256" s="387" t="s">
        <v>1078</v>
      </c>
      <c r="C256" s="385" t="s">
        <v>66</v>
      </c>
      <c r="D256" s="388">
        <v>42115</v>
      </c>
      <c r="E256" s="378" t="s">
        <v>1934</v>
      </c>
    </row>
    <row r="257" spans="1:5" ht="25.5">
      <c r="A257" s="389">
        <v>7130830063</v>
      </c>
      <c r="B257" s="387" t="s">
        <v>1079</v>
      </c>
      <c r="C257" s="385" t="s">
        <v>66</v>
      </c>
      <c r="D257" s="388">
        <v>54885</v>
      </c>
      <c r="E257" s="378" t="s">
        <v>1935</v>
      </c>
    </row>
    <row r="258" spans="1:5" ht="25.5">
      <c r="A258" s="385">
        <v>7130830070</v>
      </c>
      <c r="B258" s="387" t="s">
        <v>1080</v>
      </c>
      <c r="C258" s="385" t="s">
        <v>66</v>
      </c>
      <c r="D258" s="388">
        <v>131574</v>
      </c>
      <c r="E258" s="378" t="s">
        <v>1936</v>
      </c>
    </row>
    <row r="259" spans="1:5" ht="25.5">
      <c r="A259" s="389">
        <v>7130830084</v>
      </c>
      <c r="B259" s="387" t="s">
        <v>1079</v>
      </c>
      <c r="C259" s="385" t="s">
        <v>66</v>
      </c>
      <c r="D259" s="388">
        <v>47530</v>
      </c>
      <c r="E259" s="378" t="s">
        <v>1937</v>
      </c>
    </row>
    <row r="260" spans="1:5" ht="12.75">
      <c r="A260" s="389">
        <v>7130830585</v>
      </c>
      <c r="B260" s="387" t="s">
        <v>1429</v>
      </c>
      <c r="C260" s="385" t="s">
        <v>1611</v>
      </c>
      <c r="D260" s="388">
        <v>223</v>
      </c>
      <c r="E260" s="378" t="s">
        <v>1938</v>
      </c>
    </row>
    <row r="261" spans="1:5" ht="15" customHeight="1">
      <c r="A261" s="389">
        <v>7130830586</v>
      </c>
      <c r="B261" s="387" t="s">
        <v>1430</v>
      </c>
      <c r="C261" s="385" t="s">
        <v>1611</v>
      </c>
      <c r="D261" s="388">
        <v>178</v>
      </c>
      <c r="E261" s="378" t="s">
        <v>1939</v>
      </c>
    </row>
    <row r="262" spans="1:5" ht="15" customHeight="1">
      <c r="A262" s="391">
        <v>7130830586</v>
      </c>
      <c r="B262" s="387" t="s">
        <v>1431</v>
      </c>
      <c r="C262" s="385" t="s">
        <v>1611</v>
      </c>
      <c r="D262" s="388">
        <v>261</v>
      </c>
      <c r="E262" s="378" t="s">
        <v>1939</v>
      </c>
    </row>
    <row r="263" spans="1:5" ht="27" customHeight="1">
      <c r="A263" s="389">
        <v>7130830603</v>
      </c>
      <c r="B263" s="387" t="s">
        <v>1428</v>
      </c>
      <c r="C263" s="385" t="s">
        <v>1611</v>
      </c>
      <c r="D263" s="396">
        <v>238</v>
      </c>
      <c r="E263" s="378" t="s">
        <v>470</v>
      </c>
    </row>
    <row r="264" spans="1:5" ht="27.75" customHeight="1">
      <c r="A264" s="389">
        <v>7130830854</v>
      </c>
      <c r="B264" s="387" t="s">
        <v>1432</v>
      </c>
      <c r="C264" s="385" t="s">
        <v>1611</v>
      </c>
      <c r="D264" s="388">
        <v>24</v>
      </c>
      <c r="E264" s="378" t="s">
        <v>471</v>
      </c>
    </row>
    <row r="265" spans="1:5" ht="25.5">
      <c r="A265" s="385">
        <v>7130830971</v>
      </c>
      <c r="B265" s="380" t="s">
        <v>1433</v>
      </c>
      <c r="C265" s="385" t="s">
        <v>1611</v>
      </c>
      <c r="D265" s="388">
        <v>182</v>
      </c>
      <c r="E265" s="378" t="s">
        <v>472</v>
      </c>
    </row>
    <row r="266" spans="1:6" ht="17.25" customHeight="1">
      <c r="A266" s="389">
        <v>7130840021</v>
      </c>
      <c r="B266" s="387" t="s">
        <v>1650</v>
      </c>
      <c r="C266" s="385" t="s">
        <v>1611</v>
      </c>
      <c r="D266" s="388">
        <v>3551</v>
      </c>
      <c r="E266" s="378" t="s">
        <v>473</v>
      </c>
      <c r="F266" s="784"/>
    </row>
    <row r="267" spans="1:6" ht="20.25" customHeight="1">
      <c r="A267" s="389">
        <v>7130840029</v>
      </c>
      <c r="B267" s="387" t="s">
        <v>1651</v>
      </c>
      <c r="C267" s="385" t="s">
        <v>1611</v>
      </c>
      <c r="D267" s="388">
        <v>517</v>
      </c>
      <c r="E267" s="378" t="s">
        <v>474</v>
      </c>
      <c r="F267" s="784"/>
    </row>
    <row r="268" spans="1:5" ht="29.25" customHeight="1">
      <c r="A268" s="389">
        <v>7130850201</v>
      </c>
      <c r="B268" s="423" t="s">
        <v>928</v>
      </c>
      <c r="C268" s="389" t="s">
        <v>1330</v>
      </c>
      <c r="D268" s="388">
        <v>3758.1</v>
      </c>
      <c r="E268" s="378" t="s">
        <v>475</v>
      </c>
    </row>
    <row r="269" spans="1:5" ht="27" customHeight="1">
      <c r="A269" s="389">
        <v>7130850201</v>
      </c>
      <c r="B269" s="423" t="s">
        <v>929</v>
      </c>
      <c r="C269" s="389" t="s">
        <v>1331</v>
      </c>
      <c r="D269" s="388">
        <v>3630.81</v>
      </c>
      <c r="E269" s="378" t="s">
        <v>475</v>
      </c>
    </row>
    <row r="270" spans="1:5" ht="15" customHeight="1">
      <c r="A270" s="389">
        <v>7130860017</v>
      </c>
      <c r="B270" s="423" t="s">
        <v>930</v>
      </c>
      <c r="C270" s="389" t="s">
        <v>1331</v>
      </c>
      <c r="D270" s="388">
        <v>98.69</v>
      </c>
      <c r="E270" s="378" t="s">
        <v>476</v>
      </c>
    </row>
    <row r="271" spans="1:5" ht="15" customHeight="1">
      <c r="A271" s="389">
        <v>7130860032</v>
      </c>
      <c r="B271" s="387" t="s">
        <v>931</v>
      </c>
      <c r="C271" s="385" t="s">
        <v>1611</v>
      </c>
      <c r="D271" s="388">
        <v>345</v>
      </c>
      <c r="E271" s="378" t="s">
        <v>477</v>
      </c>
    </row>
    <row r="272" spans="1:5" ht="12.75">
      <c r="A272" s="389">
        <v>7130860033</v>
      </c>
      <c r="B272" s="387" t="s">
        <v>932</v>
      </c>
      <c r="C272" s="385" t="s">
        <v>1611</v>
      </c>
      <c r="D272" s="388">
        <v>629</v>
      </c>
      <c r="E272" s="378" t="s">
        <v>478</v>
      </c>
    </row>
    <row r="273" spans="1:5" ht="12.75">
      <c r="A273" s="389">
        <v>7130860076</v>
      </c>
      <c r="B273" s="387" t="s">
        <v>933</v>
      </c>
      <c r="C273" s="385" t="s">
        <v>1090</v>
      </c>
      <c r="D273" s="388">
        <v>58650</v>
      </c>
      <c r="E273" s="378" t="s">
        <v>479</v>
      </c>
    </row>
    <row r="274" spans="1:5" ht="12.75">
      <c r="A274" s="389">
        <v>7130860077</v>
      </c>
      <c r="B274" s="387" t="s">
        <v>934</v>
      </c>
      <c r="C274" s="385" t="s">
        <v>1090</v>
      </c>
      <c r="D274" s="388">
        <v>59225</v>
      </c>
      <c r="E274" s="378" t="s">
        <v>480</v>
      </c>
    </row>
    <row r="275" spans="1:7" ht="15.75" customHeight="1">
      <c r="A275" s="393">
        <v>7130870010</v>
      </c>
      <c r="B275" s="403" t="s">
        <v>2228</v>
      </c>
      <c r="C275" s="404" t="s">
        <v>1331</v>
      </c>
      <c r="D275" s="396">
        <v>681</v>
      </c>
      <c r="E275" s="378"/>
      <c r="G275" s="97"/>
    </row>
    <row r="276" spans="1:5" ht="39.75" customHeight="1">
      <c r="A276" s="389">
        <v>7130870013</v>
      </c>
      <c r="B276" s="387" t="s">
        <v>1087</v>
      </c>
      <c r="C276" s="385" t="s">
        <v>1611</v>
      </c>
      <c r="D276" s="388">
        <v>97</v>
      </c>
      <c r="E276" s="378" t="s">
        <v>481</v>
      </c>
    </row>
    <row r="277" spans="1:5" ht="15.75" customHeight="1">
      <c r="A277" s="389">
        <v>7130870030</v>
      </c>
      <c r="B277" s="423" t="s">
        <v>935</v>
      </c>
      <c r="C277" s="389" t="s">
        <v>1331</v>
      </c>
      <c r="D277" s="388">
        <v>315.5</v>
      </c>
      <c r="E277" s="378" t="s">
        <v>482</v>
      </c>
    </row>
    <row r="278" spans="1:5" ht="15.75" customHeight="1">
      <c r="A278" s="389">
        <v>7130870041</v>
      </c>
      <c r="B278" s="387" t="s">
        <v>936</v>
      </c>
      <c r="C278" s="385" t="s">
        <v>1090</v>
      </c>
      <c r="D278" s="388">
        <v>53007</v>
      </c>
      <c r="E278" s="378" t="s">
        <v>483</v>
      </c>
    </row>
    <row r="279" spans="1:5" ht="15.75" customHeight="1">
      <c r="A279" s="389">
        <v>7130870043</v>
      </c>
      <c r="B279" s="387" t="s">
        <v>611</v>
      </c>
      <c r="C279" s="385" t="s">
        <v>1090</v>
      </c>
      <c r="D279" s="388">
        <v>52969</v>
      </c>
      <c r="E279" s="378" t="s">
        <v>484</v>
      </c>
    </row>
    <row r="280" spans="1:5" ht="15.75" customHeight="1">
      <c r="A280" s="389">
        <v>7130870045</v>
      </c>
      <c r="B280" s="387" t="s">
        <v>612</v>
      </c>
      <c r="C280" s="385" t="s">
        <v>1090</v>
      </c>
      <c r="D280" s="388">
        <v>52969</v>
      </c>
      <c r="E280" s="378" t="s">
        <v>485</v>
      </c>
    </row>
    <row r="281" spans="1:5" ht="27.75" customHeight="1">
      <c r="A281" s="391">
        <v>7130870088</v>
      </c>
      <c r="B281" s="387" t="s">
        <v>284</v>
      </c>
      <c r="C281" s="385" t="s">
        <v>1611</v>
      </c>
      <c r="D281" s="388">
        <v>1812</v>
      </c>
      <c r="E281" s="378"/>
    </row>
    <row r="282" spans="1:5" ht="25.5">
      <c r="A282" s="394">
        <v>7130870318</v>
      </c>
      <c r="B282" s="387" t="s">
        <v>1446</v>
      </c>
      <c r="C282" s="385" t="s">
        <v>1330</v>
      </c>
      <c r="D282" s="388">
        <v>949</v>
      </c>
      <c r="E282" s="378" t="s">
        <v>486</v>
      </c>
    </row>
    <row r="283" spans="1:6" ht="25.5" hidden="1">
      <c r="A283" s="511">
        <v>7130877679</v>
      </c>
      <c r="B283" s="502" t="s">
        <v>1858</v>
      </c>
      <c r="C283" s="492" t="s">
        <v>1611</v>
      </c>
      <c r="D283" s="499" t="s">
        <v>540</v>
      </c>
      <c r="E283" s="555" t="s">
        <v>614</v>
      </c>
      <c r="F283" s="781"/>
    </row>
    <row r="284" spans="1:7" ht="27.75" customHeight="1">
      <c r="A284" s="402">
        <v>7130877681</v>
      </c>
      <c r="B284" s="395" t="s">
        <v>2225</v>
      </c>
      <c r="C284" s="377" t="s">
        <v>1611</v>
      </c>
      <c r="D284" s="780">
        <v>2270</v>
      </c>
      <c r="E284" s="378" t="s">
        <v>613</v>
      </c>
      <c r="G284" s="97"/>
    </row>
    <row r="285" spans="1:7" ht="25.5">
      <c r="A285" s="377">
        <v>7130877683</v>
      </c>
      <c r="B285" s="395" t="s">
        <v>2226</v>
      </c>
      <c r="C285" s="377" t="s">
        <v>1611</v>
      </c>
      <c r="D285" s="388">
        <v>2018</v>
      </c>
      <c r="E285" s="378" t="s">
        <v>487</v>
      </c>
      <c r="G285" s="97"/>
    </row>
    <row r="286" spans="1:7" ht="27" customHeight="1">
      <c r="A286" s="393">
        <v>7130880006</v>
      </c>
      <c r="B286" s="392" t="s">
        <v>1160</v>
      </c>
      <c r="C286" s="377" t="s">
        <v>1331</v>
      </c>
      <c r="D286" s="396">
        <v>113</v>
      </c>
      <c r="E286" s="378" t="s">
        <v>741</v>
      </c>
      <c r="G286" s="97"/>
    </row>
    <row r="287" spans="1:7" ht="27.75" customHeight="1">
      <c r="A287" s="393">
        <v>7130880006</v>
      </c>
      <c r="B287" s="403" t="s">
        <v>669</v>
      </c>
      <c r="C287" s="411" t="s">
        <v>1331</v>
      </c>
      <c r="D287" s="396">
        <v>124</v>
      </c>
      <c r="E287" s="378" t="s">
        <v>741</v>
      </c>
      <c r="G287" s="97"/>
    </row>
    <row r="288" spans="1:5" ht="18" customHeight="1">
      <c r="A288" s="389">
        <v>7130880041</v>
      </c>
      <c r="B288" s="387" t="s">
        <v>1955</v>
      </c>
      <c r="C288" s="385" t="s">
        <v>1611</v>
      </c>
      <c r="D288" s="388">
        <v>62</v>
      </c>
      <c r="E288" s="378" t="s">
        <v>742</v>
      </c>
    </row>
    <row r="289" spans="1:6" ht="18" hidden="1">
      <c r="A289" s="494">
        <v>7130890003</v>
      </c>
      <c r="B289" s="509" t="s">
        <v>2097</v>
      </c>
      <c r="C289" s="494" t="s">
        <v>1611</v>
      </c>
      <c r="D289" s="499" t="s">
        <v>540</v>
      </c>
      <c r="E289" s="555" t="s">
        <v>743</v>
      </c>
      <c r="F289" s="781"/>
    </row>
    <row r="290" spans="1:5" ht="25.5">
      <c r="A290" s="393">
        <v>7130890004</v>
      </c>
      <c r="B290" s="392" t="s">
        <v>967</v>
      </c>
      <c r="C290" s="385" t="s">
        <v>1756</v>
      </c>
      <c r="D290" s="388">
        <v>3858</v>
      </c>
      <c r="E290" s="378" t="s">
        <v>744</v>
      </c>
    </row>
    <row r="291" spans="1:5" ht="25.5">
      <c r="A291" s="393">
        <v>7130890005</v>
      </c>
      <c r="B291" s="392" t="s">
        <v>1197</v>
      </c>
      <c r="C291" s="385" t="s">
        <v>1756</v>
      </c>
      <c r="D291" s="388">
        <v>4868</v>
      </c>
      <c r="E291" s="378"/>
    </row>
    <row r="292" spans="1:5" ht="25.5">
      <c r="A292" s="393">
        <v>7130890006</v>
      </c>
      <c r="B292" s="392" t="s">
        <v>1198</v>
      </c>
      <c r="C292" s="385" t="s">
        <v>1756</v>
      </c>
      <c r="D292" s="388">
        <v>11042</v>
      </c>
      <c r="E292" s="378" t="s">
        <v>745</v>
      </c>
    </row>
    <row r="293" spans="1:5" ht="25.5">
      <c r="A293" s="393">
        <v>7130890007</v>
      </c>
      <c r="B293" s="392" t="s">
        <v>1199</v>
      </c>
      <c r="C293" s="385" t="s">
        <v>1756</v>
      </c>
      <c r="D293" s="388">
        <v>11567</v>
      </c>
      <c r="E293" s="378" t="s">
        <v>746</v>
      </c>
    </row>
    <row r="294" spans="1:7" ht="25.5" customHeight="1">
      <c r="A294" s="393">
        <v>7130890008</v>
      </c>
      <c r="B294" s="392" t="s">
        <v>1200</v>
      </c>
      <c r="C294" s="377" t="s">
        <v>1756</v>
      </c>
      <c r="D294" s="396">
        <v>51</v>
      </c>
      <c r="E294" s="378" t="s">
        <v>747</v>
      </c>
      <c r="G294" s="97"/>
    </row>
    <row r="295" spans="1:7" ht="14.25" customHeight="1">
      <c r="A295" s="393">
        <v>7131961526</v>
      </c>
      <c r="B295" s="408" t="s">
        <v>1201</v>
      </c>
      <c r="C295" s="388" t="s">
        <v>1756</v>
      </c>
      <c r="D295" s="780">
        <v>3632</v>
      </c>
      <c r="E295" s="378" t="s">
        <v>748</v>
      </c>
      <c r="F295" s="1374" t="s">
        <v>686</v>
      </c>
      <c r="G295" s="1374"/>
    </row>
    <row r="296" spans="1:7" ht="12.75">
      <c r="A296" s="393">
        <v>7130893004</v>
      </c>
      <c r="B296" s="405" t="s">
        <v>2227</v>
      </c>
      <c r="C296" s="404" t="s">
        <v>1331</v>
      </c>
      <c r="D296" s="396">
        <v>161</v>
      </c>
      <c r="E296" s="378" t="s">
        <v>749</v>
      </c>
      <c r="G296" s="97"/>
    </row>
    <row r="297" spans="1:5" ht="16.5" customHeight="1">
      <c r="A297" s="389">
        <v>7130897759</v>
      </c>
      <c r="B297" s="423" t="s">
        <v>615</v>
      </c>
      <c r="C297" s="389" t="s">
        <v>1330</v>
      </c>
      <c r="D297" s="388">
        <v>2739.85</v>
      </c>
      <c r="E297" s="378" t="s">
        <v>750</v>
      </c>
    </row>
    <row r="298" spans="1:7" ht="12.75">
      <c r="A298" s="393">
        <v>7131210001</v>
      </c>
      <c r="B298" s="392" t="s">
        <v>1486</v>
      </c>
      <c r="C298" s="377" t="s">
        <v>1756</v>
      </c>
      <c r="D298" s="396">
        <v>106</v>
      </c>
      <c r="E298" s="378"/>
      <c r="G298" s="97"/>
    </row>
    <row r="299" spans="1:6" ht="18" customHeight="1" hidden="1">
      <c r="A299" s="510">
        <v>7131210846</v>
      </c>
      <c r="B299" s="502" t="s">
        <v>2098</v>
      </c>
      <c r="C299" s="503" t="s">
        <v>1331</v>
      </c>
      <c r="D299" s="499" t="s">
        <v>540</v>
      </c>
      <c r="E299" s="555" t="s">
        <v>751</v>
      </c>
      <c r="F299" s="781"/>
    </row>
    <row r="300" spans="1:5" ht="15.75" customHeight="1">
      <c r="A300" s="391">
        <v>7131210852</v>
      </c>
      <c r="B300" s="387" t="s">
        <v>1121</v>
      </c>
      <c r="C300" s="385" t="s">
        <v>1611</v>
      </c>
      <c r="D300" s="388">
        <v>98</v>
      </c>
      <c r="E300" s="378"/>
    </row>
    <row r="301" spans="1:5" ht="15.75" customHeight="1">
      <c r="A301" s="391">
        <v>7131210881</v>
      </c>
      <c r="B301" s="387" t="s">
        <v>1143</v>
      </c>
      <c r="C301" s="385" t="s">
        <v>1611</v>
      </c>
      <c r="D301" s="388">
        <v>1266</v>
      </c>
      <c r="E301" s="378" t="s">
        <v>752</v>
      </c>
    </row>
    <row r="302" spans="1:5" ht="15" customHeight="1">
      <c r="A302" s="389">
        <v>7131220182</v>
      </c>
      <c r="B302" s="387" t="s">
        <v>1146</v>
      </c>
      <c r="C302" s="385" t="s">
        <v>1611</v>
      </c>
      <c r="D302" s="388">
        <v>52</v>
      </c>
      <c r="E302" s="378" t="s">
        <v>892</v>
      </c>
    </row>
    <row r="303" spans="1:5" ht="15.75" customHeight="1">
      <c r="A303" s="391">
        <v>7131230003</v>
      </c>
      <c r="B303" s="387" t="s">
        <v>1144</v>
      </c>
      <c r="C303" s="385" t="s">
        <v>1611</v>
      </c>
      <c r="D303" s="388">
        <v>472</v>
      </c>
      <c r="E303" s="378" t="s">
        <v>893</v>
      </c>
    </row>
    <row r="304" spans="1:5" ht="15.75" customHeight="1">
      <c r="A304" s="391">
        <v>7131230116</v>
      </c>
      <c r="B304" s="387" t="s">
        <v>1142</v>
      </c>
      <c r="C304" s="385" t="s">
        <v>1611</v>
      </c>
      <c r="D304" s="388">
        <v>372</v>
      </c>
      <c r="E304" s="378" t="s">
        <v>894</v>
      </c>
    </row>
    <row r="305" spans="1:5" ht="27" customHeight="1">
      <c r="A305" s="406">
        <v>7131230128</v>
      </c>
      <c r="B305" s="387" t="s">
        <v>1154</v>
      </c>
      <c r="C305" s="385" t="s">
        <v>1611</v>
      </c>
      <c r="D305" s="396">
        <v>1975</v>
      </c>
      <c r="E305" s="378" t="s">
        <v>895</v>
      </c>
    </row>
    <row r="306" spans="1:5" ht="18" customHeight="1">
      <c r="A306" s="391">
        <v>7131280006</v>
      </c>
      <c r="B306" s="387" t="s">
        <v>1138</v>
      </c>
      <c r="C306" s="385" t="s">
        <v>1611</v>
      </c>
      <c r="D306" s="388">
        <v>104</v>
      </c>
      <c r="E306" s="378"/>
    </row>
    <row r="307" spans="1:5" ht="12.75">
      <c r="A307" s="391">
        <v>7131280007</v>
      </c>
      <c r="B307" s="387" t="s">
        <v>1139</v>
      </c>
      <c r="C307" s="385" t="s">
        <v>1611</v>
      </c>
      <c r="D307" s="388">
        <v>136</v>
      </c>
      <c r="E307" s="378" t="s">
        <v>896</v>
      </c>
    </row>
    <row r="308" spans="1:5" ht="12.75">
      <c r="A308" s="391">
        <v>7131280008</v>
      </c>
      <c r="B308" s="387" t="s">
        <v>1140</v>
      </c>
      <c r="C308" s="385" t="s">
        <v>1611</v>
      </c>
      <c r="D308" s="388">
        <v>174</v>
      </c>
      <c r="E308" s="378"/>
    </row>
    <row r="309" spans="1:5" ht="12.75">
      <c r="A309" s="391">
        <v>7131280009</v>
      </c>
      <c r="B309" s="387" t="s">
        <v>1141</v>
      </c>
      <c r="C309" s="385" t="s">
        <v>1611</v>
      </c>
      <c r="D309" s="388">
        <v>161</v>
      </c>
      <c r="E309" s="378"/>
    </row>
    <row r="310" spans="1:5" ht="12.75">
      <c r="A310" s="391">
        <v>7131280010</v>
      </c>
      <c r="B310" s="387" t="s">
        <v>1145</v>
      </c>
      <c r="C310" s="385" t="s">
        <v>1611</v>
      </c>
      <c r="D310" s="388">
        <v>100</v>
      </c>
      <c r="E310" s="378"/>
    </row>
    <row r="311" spans="1:5" ht="25.5">
      <c r="A311" s="391">
        <v>7131280011</v>
      </c>
      <c r="B311" s="387" t="s">
        <v>1147</v>
      </c>
      <c r="C311" s="385" t="s">
        <v>1611</v>
      </c>
      <c r="D311" s="388">
        <v>6530</v>
      </c>
      <c r="E311" s="378"/>
    </row>
    <row r="312" spans="1:5" ht="12.75">
      <c r="A312" s="391">
        <v>7131280012</v>
      </c>
      <c r="B312" s="387" t="s">
        <v>1148</v>
      </c>
      <c r="C312" s="385" t="s">
        <v>1611</v>
      </c>
      <c r="D312" s="388">
        <v>653</v>
      </c>
      <c r="E312" s="378" t="s">
        <v>944</v>
      </c>
    </row>
    <row r="313" spans="1:5" ht="12.75">
      <c r="A313" s="391">
        <v>7131280013</v>
      </c>
      <c r="B313" s="387" t="s">
        <v>1149</v>
      </c>
      <c r="C313" s="385" t="s">
        <v>1611</v>
      </c>
      <c r="D313" s="388">
        <v>2730</v>
      </c>
      <c r="E313" s="378" t="s">
        <v>945</v>
      </c>
    </row>
    <row r="314" spans="1:5" ht="12.75">
      <c r="A314" s="391">
        <v>7131280014</v>
      </c>
      <c r="B314" s="387" t="s">
        <v>1150</v>
      </c>
      <c r="C314" s="385" t="s">
        <v>1611</v>
      </c>
      <c r="D314" s="388">
        <v>326</v>
      </c>
      <c r="E314" s="378" t="s">
        <v>946</v>
      </c>
    </row>
    <row r="315" spans="1:5" ht="12.75">
      <c r="A315" s="391">
        <v>7131280015</v>
      </c>
      <c r="B315" s="387" t="s">
        <v>1151</v>
      </c>
      <c r="C315" s="385" t="s">
        <v>1611</v>
      </c>
      <c r="D315" s="388">
        <v>1360</v>
      </c>
      <c r="E315" s="378" t="s">
        <v>947</v>
      </c>
    </row>
    <row r="316" spans="1:5" ht="25.5">
      <c r="A316" s="391">
        <v>7131280016</v>
      </c>
      <c r="B316" s="387" t="s">
        <v>1152</v>
      </c>
      <c r="C316" s="385" t="s">
        <v>1611</v>
      </c>
      <c r="D316" s="388">
        <v>3113</v>
      </c>
      <c r="E316" s="378" t="s">
        <v>948</v>
      </c>
    </row>
    <row r="317" spans="1:5" ht="25.5">
      <c r="A317" s="391">
        <v>7131280017</v>
      </c>
      <c r="B317" s="387" t="s">
        <v>1153</v>
      </c>
      <c r="C317" s="385" t="s">
        <v>1611</v>
      </c>
      <c r="D317" s="388">
        <v>3891</v>
      </c>
      <c r="E317" s="378" t="s">
        <v>949</v>
      </c>
    </row>
    <row r="318" spans="1:5" ht="12.75">
      <c r="A318" s="391">
        <v>7131280882</v>
      </c>
      <c r="B318" s="387" t="s">
        <v>1122</v>
      </c>
      <c r="C318" s="385" t="s">
        <v>1611</v>
      </c>
      <c r="D318" s="388">
        <v>98</v>
      </c>
      <c r="E318" s="378"/>
    </row>
    <row r="319" spans="1:5" ht="25.5">
      <c r="A319" s="389">
        <v>7131300046</v>
      </c>
      <c r="B319" s="387" t="s">
        <v>1286</v>
      </c>
      <c r="C319" s="385" t="s">
        <v>1611</v>
      </c>
      <c r="D319" s="388">
        <v>2000</v>
      </c>
      <c r="E319" s="378" t="s">
        <v>950</v>
      </c>
    </row>
    <row r="320" spans="1:5" ht="25.5">
      <c r="A320" s="379">
        <v>7131300065</v>
      </c>
      <c r="B320" s="380" t="s">
        <v>548</v>
      </c>
      <c r="C320" s="385" t="s">
        <v>1611</v>
      </c>
      <c r="D320" s="388">
        <v>1060500</v>
      </c>
      <c r="E320" s="378" t="s">
        <v>951</v>
      </c>
    </row>
    <row r="321" spans="1:7" ht="12.75">
      <c r="A321" s="393">
        <v>7131300067</v>
      </c>
      <c r="B321" s="395" t="s">
        <v>577</v>
      </c>
      <c r="C321" s="379" t="s">
        <v>1756</v>
      </c>
      <c r="D321" s="382">
        <v>178</v>
      </c>
      <c r="E321" s="378"/>
      <c r="G321" s="97"/>
    </row>
    <row r="322" spans="1:7" ht="12.75">
      <c r="A322" s="393">
        <v>7131300082</v>
      </c>
      <c r="B322" s="395" t="s">
        <v>1421</v>
      </c>
      <c r="C322" s="377" t="s">
        <v>1756</v>
      </c>
      <c r="D322" s="396">
        <v>648</v>
      </c>
      <c r="E322" s="378" t="s">
        <v>952</v>
      </c>
      <c r="G322" s="97"/>
    </row>
    <row r="323" spans="1:5" ht="38.25">
      <c r="A323" s="389">
        <v>7131300500</v>
      </c>
      <c r="B323" s="387" t="s">
        <v>1342</v>
      </c>
      <c r="C323" s="385" t="s">
        <v>1611</v>
      </c>
      <c r="D323" s="388">
        <v>899</v>
      </c>
      <c r="E323" s="378" t="s">
        <v>953</v>
      </c>
    </row>
    <row r="324" spans="1:7" ht="12.75">
      <c r="A324" s="381">
        <v>7131300881</v>
      </c>
      <c r="B324" s="380" t="s">
        <v>547</v>
      </c>
      <c r="C324" s="381" t="s">
        <v>1611</v>
      </c>
      <c r="D324" s="383">
        <v>50063</v>
      </c>
      <c r="E324" s="378" t="s">
        <v>954</v>
      </c>
      <c r="G324" s="97"/>
    </row>
    <row r="325" spans="1:5" ht="12.75">
      <c r="A325" s="381">
        <v>7131310013</v>
      </c>
      <c r="B325" s="380" t="s">
        <v>546</v>
      </c>
      <c r="C325" s="381" t="s">
        <v>1611</v>
      </c>
      <c r="D325" s="383">
        <v>3434</v>
      </c>
      <c r="E325" s="378" t="s">
        <v>955</v>
      </c>
    </row>
    <row r="326" spans="1:5" ht="25.5">
      <c r="A326" s="389">
        <v>7131310015</v>
      </c>
      <c r="B326" s="387" t="s">
        <v>1290</v>
      </c>
      <c r="C326" s="385" t="s">
        <v>1611</v>
      </c>
      <c r="D326" s="388">
        <v>9207</v>
      </c>
      <c r="E326" s="378" t="s">
        <v>956</v>
      </c>
    </row>
    <row r="327" spans="1:5" ht="25.5">
      <c r="A327" s="385">
        <v>7131310033</v>
      </c>
      <c r="B327" s="380" t="s">
        <v>1963</v>
      </c>
      <c r="C327" s="385" t="s">
        <v>1611</v>
      </c>
      <c r="D327" s="388">
        <v>3434</v>
      </c>
      <c r="E327" s="378" t="s">
        <v>957</v>
      </c>
    </row>
    <row r="328" spans="1:5" ht="25.5">
      <c r="A328" s="385">
        <v>7131310034</v>
      </c>
      <c r="B328" s="380" t="s">
        <v>1921</v>
      </c>
      <c r="C328" s="385" t="s">
        <v>1611</v>
      </c>
      <c r="D328" s="388">
        <v>3434</v>
      </c>
      <c r="E328" s="378" t="s">
        <v>957</v>
      </c>
    </row>
    <row r="329" spans="1:5" ht="15.75" customHeight="1">
      <c r="A329" s="385">
        <v>7131310035</v>
      </c>
      <c r="B329" s="380" t="s">
        <v>545</v>
      </c>
      <c r="C329" s="385" t="s">
        <v>1611</v>
      </c>
      <c r="D329" s="388">
        <v>16160</v>
      </c>
      <c r="E329" s="378" t="s">
        <v>958</v>
      </c>
    </row>
    <row r="330" spans="1:5" ht="15.75" customHeight="1">
      <c r="A330" s="385">
        <v>7131310036</v>
      </c>
      <c r="B330" s="380" t="s">
        <v>544</v>
      </c>
      <c r="C330" s="385" t="s">
        <v>1611</v>
      </c>
      <c r="D330" s="388">
        <v>16160</v>
      </c>
      <c r="E330" s="378" t="s">
        <v>959</v>
      </c>
    </row>
    <row r="331" spans="1:7" ht="15.75" customHeight="1">
      <c r="A331" s="385">
        <v>7131310037</v>
      </c>
      <c r="B331" s="380" t="s">
        <v>629</v>
      </c>
      <c r="C331" s="385" t="s">
        <v>1611</v>
      </c>
      <c r="D331" s="388">
        <v>870</v>
      </c>
      <c r="E331" s="378" t="s">
        <v>960</v>
      </c>
      <c r="G331" s="97"/>
    </row>
    <row r="332" spans="1:12" ht="27.75" customHeight="1">
      <c r="A332" s="389">
        <v>7131310994</v>
      </c>
      <c r="B332" s="387" t="s">
        <v>1287</v>
      </c>
      <c r="C332" s="385" t="s">
        <v>1611</v>
      </c>
      <c r="D332" s="388">
        <v>2618</v>
      </c>
      <c r="E332" s="378" t="s">
        <v>961</v>
      </c>
      <c r="F332" s="785" t="s">
        <v>1003</v>
      </c>
      <c r="G332" s="785"/>
      <c r="H332" s="97"/>
      <c r="K332" s="1347"/>
      <c r="L332" s="1347"/>
    </row>
    <row r="333" spans="1:5" ht="25.5">
      <c r="A333" s="389">
        <v>7131310997</v>
      </c>
      <c r="B333" s="387" t="s">
        <v>1288</v>
      </c>
      <c r="C333" s="385" t="s">
        <v>1611</v>
      </c>
      <c r="D333" s="388">
        <v>2027</v>
      </c>
      <c r="E333" s="378" t="s">
        <v>962</v>
      </c>
    </row>
    <row r="334" spans="1:7" ht="19.5" customHeight="1">
      <c r="A334" s="406">
        <v>7131320009</v>
      </c>
      <c r="B334" s="392" t="s">
        <v>327</v>
      </c>
      <c r="C334" s="377" t="s">
        <v>1756</v>
      </c>
      <c r="D334" s="396">
        <v>2700</v>
      </c>
      <c r="E334" s="378" t="s">
        <v>963</v>
      </c>
      <c r="G334" s="97"/>
    </row>
    <row r="335" spans="1:7" ht="25.5">
      <c r="A335" s="393">
        <v>7131321603</v>
      </c>
      <c r="B335" s="392" t="s">
        <v>2219</v>
      </c>
      <c r="C335" s="377" t="s">
        <v>1756</v>
      </c>
      <c r="D335" s="396">
        <v>3940</v>
      </c>
      <c r="E335" s="378"/>
      <c r="G335" s="97"/>
    </row>
    <row r="336" spans="1:7" ht="17.25" customHeight="1">
      <c r="A336" s="393">
        <v>7131324780</v>
      </c>
      <c r="B336" s="392" t="s">
        <v>331</v>
      </c>
      <c r="C336" s="377" t="s">
        <v>1756</v>
      </c>
      <c r="D336" s="396">
        <v>3240</v>
      </c>
      <c r="E336" s="378"/>
      <c r="G336" s="97"/>
    </row>
    <row r="337" spans="1:7" ht="17.25" customHeight="1">
      <c r="A337" s="406">
        <v>7131324806</v>
      </c>
      <c r="B337" s="392" t="s">
        <v>2093</v>
      </c>
      <c r="C337" s="377" t="s">
        <v>1756</v>
      </c>
      <c r="D337" s="396">
        <v>4883</v>
      </c>
      <c r="E337" s="378" t="s">
        <v>964</v>
      </c>
      <c r="G337" s="97"/>
    </row>
    <row r="338" spans="1:5" ht="25.5">
      <c r="A338" s="391">
        <v>7131329275</v>
      </c>
      <c r="B338" s="387" t="s">
        <v>550</v>
      </c>
      <c r="C338" s="385" t="s">
        <v>1611</v>
      </c>
      <c r="D338" s="388">
        <v>6300</v>
      </c>
      <c r="E338" s="378"/>
    </row>
    <row r="339" spans="1:9" ht="25.5">
      <c r="A339" s="391">
        <v>7131334001</v>
      </c>
      <c r="B339" s="387" t="s">
        <v>551</v>
      </c>
      <c r="C339" s="385" t="s">
        <v>1756</v>
      </c>
      <c r="D339" s="388">
        <v>7228</v>
      </c>
      <c r="E339" s="378" t="s">
        <v>804</v>
      </c>
      <c r="I339" s="585"/>
    </row>
    <row r="340" spans="1:9" ht="38.25" customHeight="1">
      <c r="A340" s="391">
        <v>7131334002</v>
      </c>
      <c r="B340" s="387" t="s">
        <v>552</v>
      </c>
      <c r="C340" s="385" t="s">
        <v>1756</v>
      </c>
      <c r="D340" s="388">
        <v>7286</v>
      </c>
      <c r="E340" s="378" t="s">
        <v>805</v>
      </c>
      <c r="I340" s="585"/>
    </row>
    <row r="341" spans="1:9" ht="12.75">
      <c r="A341" s="391">
        <v>7131399007</v>
      </c>
      <c r="B341" s="387" t="s">
        <v>553</v>
      </c>
      <c r="C341" s="385" t="s">
        <v>1756</v>
      </c>
      <c r="D341" s="388">
        <v>1402</v>
      </c>
      <c r="E341" s="378"/>
      <c r="I341" s="585"/>
    </row>
    <row r="342" spans="1:7" ht="25.5">
      <c r="A342" s="393">
        <v>7131338004</v>
      </c>
      <c r="B342" s="392" t="s">
        <v>1419</v>
      </c>
      <c r="C342" s="377" t="s">
        <v>1756</v>
      </c>
      <c r="D342" s="396">
        <v>64638</v>
      </c>
      <c r="E342" s="378"/>
      <c r="G342" s="97"/>
    </row>
    <row r="343" spans="1:7" ht="14.25" customHeight="1">
      <c r="A343" s="406">
        <v>7131338025</v>
      </c>
      <c r="B343" s="395" t="s">
        <v>1025</v>
      </c>
      <c r="C343" s="377" t="s">
        <v>1756</v>
      </c>
      <c r="D343" s="396">
        <v>51</v>
      </c>
      <c r="E343" s="378" t="s">
        <v>806</v>
      </c>
      <c r="G343" s="97"/>
    </row>
    <row r="344" spans="1:7" ht="13.5" customHeight="1">
      <c r="A344" s="393">
        <v>7131387501</v>
      </c>
      <c r="B344" s="392" t="s">
        <v>326</v>
      </c>
      <c r="C344" s="377" t="s">
        <v>1756</v>
      </c>
      <c r="D344" s="396">
        <v>216</v>
      </c>
      <c r="E344" s="554"/>
      <c r="G344" s="97"/>
    </row>
    <row r="345" spans="1:7" ht="15.75" customHeight="1">
      <c r="A345" s="393">
        <v>7131387502</v>
      </c>
      <c r="B345" s="392" t="s">
        <v>329</v>
      </c>
      <c r="C345" s="377" t="s">
        <v>1756</v>
      </c>
      <c r="D345" s="396">
        <v>427</v>
      </c>
      <c r="E345" s="378" t="s">
        <v>807</v>
      </c>
      <c r="G345" s="97"/>
    </row>
    <row r="346" spans="1:6" ht="38.25" hidden="1">
      <c r="A346" s="492">
        <v>7131390009</v>
      </c>
      <c r="B346" s="502" t="s">
        <v>1541</v>
      </c>
      <c r="C346" s="492" t="s">
        <v>1756</v>
      </c>
      <c r="D346" s="499" t="s">
        <v>540</v>
      </c>
      <c r="E346" s="506"/>
      <c r="F346" s="781"/>
    </row>
    <row r="347" spans="1:6" ht="29.25" customHeight="1" hidden="1">
      <c r="A347" s="492">
        <v>7131390010</v>
      </c>
      <c r="B347" s="509" t="s">
        <v>1542</v>
      </c>
      <c r="C347" s="492" t="s">
        <v>1611</v>
      </c>
      <c r="D347" s="499" t="s">
        <v>540</v>
      </c>
      <c r="E347" s="506"/>
      <c r="F347" s="781"/>
    </row>
    <row r="348" spans="1:6" ht="38.25" hidden="1">
      <c r="A348" s="492">
        <v>7131390012</v>
      </c>
      <c r="B348" s="502" t="s">
        <v>1543</v>
      </c>
      <c r="C348" s="492" t="s">
        <v>1756</v>
      </c>
      <c r="D348" s="499" t="s">
        <v>540</v>
      </c>
      <c r="E348" s="506"/>
      <c r="F348" s="781"/>
    </row>
    <row r="349" spans="1:6" ht="39.75" customHeight="1" hidden="1">
      <c r="A349" s="492">
        <v>7131390013</v>
      </c>
      <c r="B349" s="502" t="s">
        <v>1544</v>
      </c>
      <c r="C349" s="492" t="s">
        <v>1756</v>
      </c>
      <c r="D349" s="499" t="s">
        <v>540</v>
      </c>
      <c r="E349" s="506"/>
      <c r="F349" s="781"/>
    </row>
    <row r="350" spans="1:7" ht="12.75">
      <c r="A350" s="393">
        <v>7131390014</v>
      </c>
      <c r="B350" s="392" t="s">
        <v>376</v>
      </c>
      <c r="C350" s="377" t="s">
        <v>1756</v>
      </c>
      <c r="D350" s="396">
        <v>169</v>
      </c>
      <c r="E350" s="779"/>
      <c r="G350" s="97"/>
    </row>
    <row r="351" spans="1:7" ht="12.75">
      <c r="A351" s="393">
        <v>7131390015</v>
      </c>
      <c r="B351" s="392" t="s">
        <v>377</v>
      </c>
      <c r="C351" s="377" t="s">
        <v>1756</v>
      </c>
      <c r="D351" s="396">
        <v>31</v>
      </c>
      <c r="E351" s="779"/>
      <c r="G351" s="97"/>
    </row>
    <row r="352" spans="1:7" ht="15" customHeight="1">
      <c r="A352" s="393">
        <v>7131390016</v>
      </c>
      <c r="B352" s="392" t="s">
        <v>2085</v>
      </c>
      <c r="C352" s="377" t="s">
        <v>1756</v>
      </c>
      <c r="D352" s="396">
        <v>420</v>
      </c>
      <c r="E352" s="779"/>
      <c r="G352" s="97"/>
    </row>
    <row r="353" spans="1:5" ht="15" customHeight="1">
      <c r="A353" s="391">
        <v>7131820031</v>
      </c>
      <c r="B353" s="387" t="s">
        <v>616</v>
      </c>
      <c r="C353" s="385" t="s">
        <v>1611</v>
      </c>
      <c r="D353" s="388">
        <v>101</v>
      </c>
      <c r="E353" s="779"/>
    </row>
    <row r="354" spans="1:5" ht="15" customHeight="1">
      <c r="A354" s="391">
        <v>7131820032</v>
      </c>
      <c r="B354" s="387" t="s">
        <v>617</v>
      </c>
      <c r="C354" s="385" t="s">
        <v>1611</v>
      </c>
      <c r="D354" s="388">
        <v>101</v>
      </c>
      <c r="E354" s="554" t="s">
        <v>808</v>
      </c>
    </row>
    <row r="355" spans="1:5" ht="15" customHeight="1">
      <c r="A355" s="391">
        <v>7131820033</v>
      </c>
      <c r="B355" s="387" t="s">
        <v>619</v>
      </c>
      <c r="C355" s="385" t="s">
        <v>1611</v>
      </c>
      <c r="D355" s="388">
        <v>428</v>
      </c>
      <c r="E355" s="554"/>
    </row>
    <row r="356" spans="1:5" ht="15" customHeight="1">
      <c r="A356" s="391">
        <v>7131820034</v>
      </c>
      <c r="B356" s="387" t="s">
        <v>618</v>
      </c>
      <c r="C356" s="385" t="s">
        <v>1611</v>
      </c>
      <c r="D356" s="388">
        <v>428</v>
      </c>
      <c r="E356" s="554"/>
    </row>
    <row r="357" spans="1:5" ht="25.5" customHeight="1">
      <c r="A357" s="391">
        <v>7131820035</v>
      </c>
      <c r="B357" s="387" t="s">
        <v>620</v>
      </c>
      <c r="C357" s="385" t="s">
        <v>1611</v>
      </c>
      <c r="D357" s="388">
        <v>2853</v>
      </c>
      <c r="E357" s="554"/>
    </row>
    <row r="358" spans="1:5" ht="25.5">
      <c r="A358" s="391">
        <v>7131820036</v>
      </c>
      <c r="B358" s="387" t="s">
        <v>621</v>
      </c>
      <c r="C358" s="385" t="s">
        <v>1611</v>
      </c>
      <c r="D358" s="388">
        <v>3091</v>
      </c>
      <c r="E358" s="554"/>
    </row>
    <row r="359" spans="1:5" ht="25.5">
      <c r="A359" s="391">
        <v>7131820037</v>
      </c>
      <c r="B359" s="387" t="s">
        <v>622</v>
      </c>
      <c r="C359" s="385" t="s">
        <v>1611</v>
      </c>
      <c r="D359" s="388">
        <v>3091</v>
      </c>
      <c r="E359" s="554"/>
    </row>
    <row r="360" spans="1:5" ht="16.5" customHeight="1">
      <c r="A360" s="391">
        <v>7131820038</v>
      </c>
      <c r="B360" s="387" t="s">
        <v>623</v>
      </c>
      <c r="C360" s="385" t="s">
        <v>1611</v>
      </c>
      <c r="D360" s="388">
        <v>2258</v>
      </c>
      <c r="E360" s="554"/>
    </row>
    <row r="361" spans="1:5" ht="16.5" customHeight="1">
      <c r="A361" s="391">
        <v>7131820039</v>
      </c>
      <c r="B361" s="387" t="s">
        <v>624</v>
      </c>
      <c r="C361" s="385" t="s">
        <v>1611</v>
      </c>
      <c r="D361" s="388">
        <v>5171</v>
      </c>
      <c r="E361" s="378" t="s">
        <v>809</v>
      </c>
    </row>
    <row r="362" spans="1:5" ht="25.5">
      <c r="A362" s="389">
        <v>7131900005</v>
      </c>
      <c r="B362" s="380" t="s">
        <v>1410</v>
      </c>
      <c r="C362" s="385" t="s">
        <v>1611</v>
      </c>
      <c r="D362" s="388">
        <v>694</v>
      </c>
      <c r="E362" s="378" t="s">
        <v>810</v>
      </c>
    </row>
    <row r="363" spans="1:5" ht="14.25" hidden="1">
      <c r="A363" s="507">
        <v>7131900005</v>
      </c>
      <c r="B363" s="506"/>
      <c r="C363" s="506"/>
      <c r="D363" s="508">
        <v>2603</v>
      </c>
      <c r="E363" s="555" t="s">
        <v>810</v>
      </c>
    </row>
    <row r="364" spans="1:7" ht="25.5">
      <c r="A364" s="398">
        <v>7131900033</v>
      </c>
      <c r="B364" s="395" t="s">
        <v>625</v>
      </c>
      <c r="C364" s="381" t="s">
        <v>1331</v>
      </c>
      <c r="D364" s="383">
        <v>7</v>
      </c>
      <c r="E364" s="378" t="s">
        <v>106</v>
      </c>
      <c r="G364" s="97"/>
    </row>
    <row r="365" spans="1:5" ht="17.25" customHeight="1">
      <c r="A365" s="391">
        <v>7131900071</v>
      </c>
      <c r="B365" s="387" t="s">
        <v>2006</v>
      </c>
      <c r="C365" s="385" t="s">
        <v>1611</v>
      </c>
      <c r="D365" s="780">
        <v>293</v>
      </c>
      <c r="E365" s="378" t="s">
        <v>107</v>
      </c>
    </row>
    <row r="366" spans="1:5" ht="12.75">
      <c r="A366" s="391">
        <v>7131900072</v>
      </c>
      <c r="B366" s="387" t="s">
        <v>2007</v>
      </c>
      <c r="C366" s="385" t="s">
        <v>1611</v>
      </c>
      <c r="D366" s="780">
        <v>450</v>
      </c>
      <c r="E366" s="378" t="s">
        <v>108</v>
      </c>
    </row>
    <row r="367" spans="1:7" ht="21" customHeight="1">
      <c r="A367" s="398">
        <v>7131900625</v>
      </c>
      <c r="B367" s="395" t="s">
        <v>2009</v>
      </c>
      <c r="C367" s="381" t="s">
        <v>1331</v>
      </c>
      <c r="D367" s="383">
        <v>13</v>
      </c>
      <c r="E367" s="378" t="s">
        <v>109</v>
      </c>
      <c r="G367" s="97"/>
    </row>
    <row r="368" spans="1:7" ht="17.25" customHeight="1">
      <c r="A368" s="398">
        <v>7131900650</v>
      </c>
      <c r="B368" s="395" t="s">
        <v>2010</v>
      </c>
      <c r="C368" s="381" t="s">
        <v>1331</v>
      </c>
      <c r="D368" s="383">
        <v>14</v>
      </c>
      <c r="E368" s="378" t="s">
        <v>110</v>
      </c>
      <c r="G368" s="97"/>
    </row>
    <row r="369" spans="1:5" ht="18" customHeight="1">
      <c r="A369" s="389">
        <v>7131900876</v>
      </c>
      <c r="B369" s="387" t="s">
        <v>395</v>
      </c>
      <c r="C369" s="385" t="s">
        <v>1611</v>
      </c>
      <c r="D369" s="388">
        <v>289</v>
      </c>
      <c r="E369" s="378" t="s">
        <v>111</v>
      </c>
    </row>
    <row r="370" spans="1:5" ht="18.75" customHeight="1">
      <c r="A370" s="391">
        <v>7131900876</v>
      </c>
      <c r="B370" s="387" t="s">
        <v>2008</v>
      </c>
      <c r="C370" s="385" t="s">
        <v>1611</v>
      </c>
      <c r="D370" s="780">
        <v>113</v>
      </c>
      <c r="E370" s="378" t="s">
        <v>111</v>
      </c>
    </row>
    <row r="371" spans="1:5" ht="16.5" customHeight="1">
      <c r="A371" s="389">
        <v>7131900880</v>
      </c>
      <c r="B371" s="387" t="s">
        <v>2011</v>
      </c>
      <c r="C371" s="385" t="s">
        <v>1611</v>
      </c>
      <c r="D371" s="388">
        <v>725</v>
      </c>
      <c r="E371" s="378" t="s">
        <v>1476</v>
      </c>
    </row>
    <row r="372" spans="1:5" ht="17.25" customHeight="1">
      <c r="A372" s="389">
        <v>7131900881</v>
      </c>
      <c r="B372" s="387" t="s">
        <v>396</v>
      </c>
      <c r="C372" s="385" t="s">
        <v>1611</v>
      </c>
      <c r="D372" s="388">
        <v>802</v>
      </c>
      <c r="E372" s="378" t="s">
        <v>1477</v>
      </c>
    </row>
    <row r="373" spans="1:5" ht="12.75">
      <c r="A373" s="381">
        <v>7131900969</v>
      </c>
      <c r="B373" s="395" t="s">
        <v>397</v>
      </c>
      <c r="C373" s="381" t="s">
        <v>1576</v>
      </c>
      <c r="D373" s="383">
        <v>634</v>
      </c>
      <c r="E373" s="378" t="s">
        <v>1478</v>
      </c>
    </row>
    <row r="374" spans="1:5" ht="12.75" customHeight="1">
      <c r="A374" s="381">
        <v>7131900971</v>
      </c>
      <c r="B374" s="395" t="s">
        <v>398</v>
      </c>
      <c r="C374" s="381" t="s">
        <v>1576</v>
      </c>
      <c r="D374" s="383">
        <v>634</v>
      </c>
      <c r="E374" s="378" t="s">
        <v>1479</v>
      </c>
    </row>
    <row r="375" spans="1:5" ht="15.75" customHeight="1">
      <c r="A375" s="381">
        <v>7131900973</v>
      </c>
      <c r="B375" s="395" t="s">
        <v>399</v>
      </c>
      <c r="C375" s="381" t="s">
        <v>1576</v>
      </c>
      <c r="D375" s="383">
        <v>634</v>
      </c>
      <c r="E375" s="378" t="s">
        <v>1480</v>
      </c>
    </row>
    <row r="376" spans="1:5" ht="12.75">
      <c r="A376" s="381">
        <v>7131900975</v>
      </c>
      <c r="B376" s="395" t="s">
        <v>739</v>
      </c>
      <c r="C376" s="381" t="s">
        <v>1576</v>
      </c>
      <c r="D376" s="383">
        <v>634</v>
      </c>
      <c r="E376" s="378" t="s">
        <v>1481</v>
      </c>
    </row>
    <row r="377" spans="1:5" ht="12.75" customHeight="1">
      <c r="A377" s="381">
        <v>7131900977</v>
      </c>
      <c r="B377" s="395" t="s">
        <v>740</v>
      </c>
      <c r="C377" s="381" t="s">
        <v>1576</v>
      </c>
      <c r="D377" s="383">
        <v>634</v>
      </c>
      <c r="E377" s="378" t="s">
        <v>1482</v>
      </c>
    </row>
    <row r="378" spans="1:5" ht="12.75">
      <c r="A378" s="381">
        <v>7131900979</v>
      </c>
      <c r="B378" s="395" t="s">
        <v>2016</v>
      </c>
      <c r="C378" s="381" t="s">
        <v>1576</v>
      </c>
      <c r="D378" s="383">
        <v>634</v>
      </c>
      <c r="E378" s="378" t="s">
        <v>1483</v>
      </c>
    </row>
    <row r="379" spans="1:5" ht="12.75">
      <c r="A379" s="381">
        <v>7131900981</v>
      </c>
      <c r="B379" s="395" t="s">
        <v>2017</v>
      </c>
      <c r="C379" s="381" t="s">
        <v>1576</v>
      </c>
      <c r="D379" s="383">
        <v>634</v>
      </c>
      <c r="E379" s="378" t="s">
        <v>176</v>
      </c>
    </row>
    <row r="380" spans="1:5" ht="12.75">
      <c r="A380" s="389">
        <v>7131910653</v>
      </c>
      <c r="B380" s="387" t="s">
        <v>2018</v>
      </c>
      <c r="C380" s="385" t="s">
        <v>1611</v>
      </c>
      <c r="D380" s="388">
        <v>46</v>
      </c>
      <c r="E380" s="378" t="s">
        <v>177</v>
      </c>
    </row>
    <row r="381" spans="1:5" ht="15" customHeight="1">
      <c r="A381" s="389">
        <v>7131910654</v>
      </c>
      <c r="B381" s="387" t="s">
        <v>599</v>
      </c>
      <c r="C381" s="385" t="s">
        <v>1611</v>
      </c>
      <c r="D381" s="388">
        <v>90</v>
      </c>
      <c r="E381" s="378" t="s">
        <v>178</v>
      </c>
    </row>
    <row r="382" spans="1:5" ht="18.75" customHeight="1">
      <c r="A382" s="391">
        <v>7131910655</v>
      </c>
      <c r="B382" s="387" t="s">
        <v>2148</v>
      </c>
      <c r="C382" s="385" t="s">
        <v>1611</v>
      </c>
      <c r="D382" s="388">
        <v>26</v>
      </c>
      <c r="E382" s="378" t="s">
        <v>758</v>
      </c>
    </row>
    <row r="383" spans="1:5" ht="12.75">
      <c r="A383" s="389">
        <v>7131910656</v>
      </c>
      <c r="B383" s="387" t="s">
        <v>2149</v>
      </c>
      <c r="C383" s="385" t="s">
        <v>1611</v>
      </c>
      <c r="D383" s="388">
        <v>277</v>
      </c>
      <c r="E383" s="378" t="s">
        <v>2035</v>
      </c>
    </row>
    <row r="384" spans="1:5" ht="12.75">
      <c r="A384" s="389">
        <v>7131910657</v>
      </c>
      <c r="B384" s="387" t="s">
        <v>2150</v>
      </c>
      <c r="C384" s="385" t="s">
        <v>1611</v>
      </c>
      <c r="D384" s="388">
        <v>550</v>
      </c>
      <c r="E384" s="378" t="s">
        <v>2036</v>
      </c>
    </row>
    <row r="385" spans="1:5" ht="12.75">
      <c r="A385" s="389">
        <v>7131910658</v>
      </c>
      <c r="B385" s="387" t="s">
        <v>2151</v>
      </c>
      <c r="C385" s="385" t="s">
        <v>1611</v>
      </c>
      <c r="D385" s="388">
        <v>983</v>
      </c>
      <c r="E385" s="378" t="s">
        <v>2037</v>
      </c>
    </row>
    <row r="386" spans="1:5" ht="15" customHeight="1">
      <c r="A386" s="381">
        <v>7131920112</v>
      </c>
      <c r="B386" s="390" t="s">
        <v>1411</v>
      </c>
      <c r="C386" s="381" t="s">
        <v>1611</v>
      </c>
      <c r="D386" s="383">
        <v>290958</v>
      </c>
      <c r="E386" s="399" t="s">
        <v>2038</v>
      </c>
    </row>
    <row r="387" spans="1:5" ht="12.75">
      <c r="A387" s="389">
        <v>7131920253</v>
      </c>
      <c r="B387" s="387" t="s">
        <v>2152</v>
      </c>
      <c r="C387" s="385" t="s">
        <v>1611</v>
      </c>
      <c r="D387" s="388">
        <v>678</v>
      </c>
      <c r="E387" s="378" t="s">
        <v>2039</v>
      </c>
    </row>
    <row r="388" spans="1:18" ht="15" customHeight="1">
      <c r="A388" s="389">
        <v>7131920254</v>
      </c>
      <c r="B388" s="387" t="s">
        <v>2153</v>
      </c>
      <c r="C388" s="385" t="s">
        <v>1611</v>
      </c>
      <c r="D388" s="388">
        <v>1628</v>
      </c>
      <c r="E388" s="378" t="s">
        <v>2040</v>
      </c>
      <c r="R388" s="2">
        <f>(13550-9794.56)/9794.56*100</f>
        <v>38.34210010454784</v>
      </c>
    </row>
    <row r="389" spans="1:18" ht="14.25" customHeight="1">
      <c r="A389" s="389">
        <v>7131920256</v>
      </c>
      <c r="B389" s="387" t="s">
        <v>2154</v>
      </c>
      <c r="C389" s="385" t="s">
        <v>1611</v>
      </c>
      <c r="D389" s="388">
        <v>3148</v>
      </c>
      <c r="E389" s="378" t="s">
        <v>2041</v>
      </c>
      <c r="R389" s="2">
        <f>(20500-15293.6)/15293.6*100</f>
        <v>34.04299837840665</v>
      </c>
    </row>
    <row r="390" spans="1:18" ht="14.25" customHeight="1">
      <c r="A390" s="389">
        <v>7131920258</v>
      </c>
      <c r="B390" s="387" t="s">
        <v>2155</v>
      </c>
      <c r="C390" s="385" t="s">
        <v>1611</v>
      </c>
      <c r="D390" s="388">
        <v>4420</v>
      </c>
      <c r="E390" s="378" t="s">
        <v>2042</v>
      </c>
      <c r="R390" s="2">
        <f>(33650-24258.16)/24258.16*100</f>
        <v>38.71620930853783</v>
      </c>
    </row>
    <row r="391" spans="1:18" ht="15.75" customHeight="1">
      <c r="A391" s="389">
        <v>7131920259</v>
      </c>
      <c r="B391" s="387" t="s">
        <v>2156</v>
      </c>
      <c r="C391" s="385" t="s">
        <v>1611</v>
      </c>
      <c r="D391" s="388">
        <v>5997</v>
      </c>
      <c r="E391" s="378" t="s">
        <v>2043</v>
      </c>
      <c r="R391" s="2">
        <f>(51000-30258)/30258*100</f>
        <v>68.55046599246481</v>
      </c>
    </row>
    <row r="392" spans="1:18" ht="12.75" customHeight="1">
      <c r="A392" s="389">
        <v>7131920260</v>
      </c>
      <c r="B392" s="387" t="s">
        <v>2157</v>
      </c>
      <c r="C392" s="385" t="s">
        <v>1611</v>
      </c>
      <c r="D392" s="388">
        <v>9058</v>
      </c>
      <c r="E392" s="378" t="s">
        <v>2044</v>
      </c>
      <c r="R392" s="2">
        <f>(67000-44299.43)/44299.43*100</f>
        <v>51.24348101092948</v>
      </c>
    </row>
    <row r="393" spans="1:6" ht="21" customHeight="1" hidden="1">
      <c r="A393" s="394">
        <v>7131920767</v>
      </c>
      <c r="B393" s="387" t="s">
        <v>1323</v>
      </c>
      <c r="C393" s="377" t="s">
        <v>1331</v>
      </c>
      <c r="D393" s="583" t="s">
        <v>540</v>
      </c>
      <c r="E393" s="378" t="s">
        <v>2045</v>
      </c>
      <c r="F393" s="781"/>
    </row>
    <row r="394" spans="1:5" ht="12.75" customHeight="1">
      <c r="A394" s="391">
        <v>7131930109</v>
      </c>
      <c r="B394" s="387" t="s">
        <v>1169</v>
      </c>
      <c r="C394" s="385" t="s">
        <v>1611</v>
      </c>
      <c r="D394" s="388">
        <v>40225</v>
      </c>
      <c r="E394" s="378" t="s">
        <v>2046</v>
      </c>
    </row>
    <row r="395" spans="1:5" ht="12.75">
      <c r="A395" s="389">
        <v>7131930221</v>
      </c>
      <c r="B395" s="387" t="s">
        <v>2158</v>
      </c>
      <c r="C395" s="385" t="s">
        <v>1611</v>
      </c>
      <c r="D395" s="388">
        <v>8675</v>
      </c>
      <c r="E395" s="378" t="s">
        <v>1817</v>
      </c>
    </row>
    <row r="396" spans="1:8" ht="15">
      <c r="A396" s="381">
        <v>7131930221</v>
      </c>
      <c r="B396" s="380" t="s">
        <v>1854</v>
      </c>
      <c r="C396" s="381" t="s">
        <v>1330</v>
      </c>
      <c r="D396" s="383">
        <v>12911</v>
      </c>
      <c r="E396" s="378" t="s">
        <v>1817</v>
      </c>
      <c r="F396" s="786" t="s">
        <v>1003</v>
      </c>
      <c r="G396" s="786"/>
      <c r="H396" s="151"/>
    </row>
    <row r="397" spans="1:5" ht="12.75">
      <c r="A397" s="389">
        <v>7131930321</v>
      </c>
      <c r="B397" s="387" t="s">
        <v>2159</v>
      </c>
      <c r="C397" s="385" t="s">
        <v>1611</v>
      </c>
      <c r="D397" s="388">
        <v>20846</v>
      </c>
      <c r="E397" s="378" t="s">
        <v>1818</v>
      </c>
    </row>
    <row r="398" spans="1:7" ht="12.75">
      <c r="A398" s="389">
        <v>7131930412</v>
      </c>
      <c r="B398" s="387" t="s">
        <v>2160</v>
      </c>
      <c r="C398" s="385" t="s">
        <v>1611</v>
      </c>
      <c r="D398" s="388">
        <v>1199</v>
      </c>
      <c r="E398" s="378" t="s">
        <v>1819</v>
      </c>
      <c r="G398" s="97"/>
    </row>
    <row r="399" spans="1:7" ht="12.75">
      <c r="A399" s="389">
        <v>7131930415</v>
      </c>
      <c r="B399" s="387" t="s">
        <v>2161</v>
      </c>
      <c r="C399" s="385" t="s">
        <v>1611</v>
      </c>
      <c r="D399" s="388">
        <v>2918</v>
      </c>
      <c r="E399" s="378" t="s">
        <v>1820</v>
      </c>
      <c r="G399" s="97"/>
    </row>
    <row r="400" spans="1:5" ht="12.75">
      <c r="A400" s="389">
        <v>7131930663</v>
      </c>
      <c r="B400" s="387" t="s">
        <v>1168</v>
      </c>
      <c r="C400" s="385" t="s">
        <v>1611</v>
      </c>
      <c r="D400" s="388">
        <v>20595</v>
      </c>
      <c r="E400" s="378" t="s">
        <v>1821</v>
      </c>
    </row>
    <row r="401" spans="1:5" ht="25.5">
      <c r="A401" s="389">
        <v>7131930752</v>
      </c>
      <c r="B401" s="387" t="s">
        <v>441</v>
      </c>
      <c r="C401" s="385" t="s">
        <v>1611</v>
      </c>
      <c r="D401" s="388">
        <v>35641</v>
      </c>
      <c r="E401" s="378" t="s">
        <v>1822</v>
      </c>
    </row>
    <row r="402" spans="1:5" ht="12.75">
      <c r="A402" s="389">
        <v>7131940602</v>
      </c>
      <c r="B402" s="387" t="s">
        <v>2162</v>
      </c>
      <c r="C402" s="385" t="s">
        <v>1611</v>
      </c>
      <c r="D402" s="388">
        <v>2378</v>
      </c>
      <c r="E402" s="554" t="s">
        <v>1823</v>
      </c>
    </row>
    <row r="403" spans="1:5" ht="12.75">
      <c r="A403" s="389">
        <v>7131940610</v>
      </c>
      <c r="B403" s="387" t="s">
        <v>2163</v>
      </c>
      <c r="C403" s="385" t="s">
        <v>1611</v>
      </c>
      <c r="D403" s="388">
        <v>22587</v>
      </c>
      <c r="E403" s="554" t="s">
        <v>1824</v>
      </c>
    </row>
    <row r="404" spans="1:5" ht="12.75">
      <c r="A404" s="389">
        <v>7131940612</v>
      </c>
      <c r="B404" s="387" t="s">
        <v>2164</v>
      </c>
      <c r="C404" s="385" t="s">
        <v>1611</v>
      </c>
      <c r="D404" s="388">
        <v>22587</v>
      </c>
      <c r="E404" s="554"/>
    </row>
    <row r="405" spans="1:5" ht="25.5">
      <c r="A405" s="389">
        <v>7131941762</v>
      </c>
      <c r="B405" s="407" t="s">
        <v>1412</v>
      </c>
      <c r="C405" s="385" t="s">
        <v>1611</v>
      </c>
      <c r="D405" s="388">
        <v>108176</v>
      </c>
      <c r="E405" s="378" t="s">
        <v>1825</v>
      </c>
    </row>
    <row r="406" spans="1:5" ht="25.5">
      <c r="A406" s="389">
        <v>7131943380</v>
      </c>
      <c r="B406" s="407" t="s">
        <v>1056</v>
      </c>
      <c r="C406" s="385" t="s">
        <v>1611</v>
      </c>
      <c r="D406" s="388">
        <v>223902</v>
      </c>
      <c r="E406" s="378" t="s">
        <v>1826</v>
      </c>
    </row>
    <row r="407" spans="1:6" ht="18" hidden="1">
      <c r="A407" s="494">
        <v>7131950009</v>
      </c>
      <c r="B407" s="493" t="s">
        <v>2294</v>
      </c>
      <c r="C407" s="494" t="s">
        <v>1611</v>
      </c>
      <c r="D407" s="499" t="s">
        <v>540</v>
      </c>
      <c r="E407" s="555" t="s">
        <v>1180</v>
      </c>
      <c r="F407" s="781"/>
    </row>
    <row r="408" spans="1:7" ht="41.25" customHeight="1">
      <c r="A408" s="385">
        <v>7131950010</v>
      </c>
      <c r="B408" s="387" t="s">
        <v>100</v>
      </c>
      <c r="C408" s="385" t="s">
        <v>1611</v>
      </c>
      <c r="D408" s="388">
        <v>1147</v>
      </c>
      <c r="E408" s="378" t="s">
        <v>1181</v>
      </c>
      <c r="G408" s="97"/>
    </row>
    <row r="409" spans="1:7" ht="19.5" customHeight="1" hidden="1">
      <c r="A409" s="494">
        <v>7131950011</v>
      </c>
      <c r="B409" s="493" t="s">
        <v>943</v>
      </c>
      <c r="C409" s="494" t="s">
        <v>1611</v>
      </c>
      <c r="D409" s="499" t="s">
        <v>540</v>
      </c>
      <c r="E409" s="555" t="s">
        <v>1359</v>
      </c>
      <c r="F409" s="781"/>
      <c r="G409" s="97" t="s">
        <v>1004</v>
      </c>
    </row>
    <row r="410" spans="1:7" ht="38.25">
      <c r="A410" s="385">
        <v>7131950012</v>
      </c>
      <c r="B410" s="387" t="s">
        <v>204</v>
      </c>
      <c r="C410" s="385" t="s">
        <v>1611</v>
      </c>
      <c r="D410" s="388">
        <v>1355</v>
      </c>
      <c r="E410" s="378" t="s">
        <v>1360</v>
      </c>
      <c r="G410" s="97"/>
    </row>
    <row r="411" spans="1:7" ht="21.75" customHeight="1" hidden="1">
      <c r="A411" s="494">
        <v>7131950013</v>
      </c>
      <c r="B411" s="493" t="s">
        <v>1539</v>
      </c>
      <c r="C411" s="494" t="s">
        <v>1611</v>
      </c>
      <c r="D411" s="499" t="s">
        <v>540</v>
      </c>
      <c r="E411" s="506" t="s">
        <v>1593</v>
      </c>
      <c r="F411" s="781"/>
      <c r="G411" s="97" t="s">
        <v>1004</v>
      </c>
    </row>
    <row r="412" spans="1:7" ht="42" customHeight="1">
      <c r="A412" s="391">
        <v>7131950015</v>
      </c>
      <c r="B412" s="387" t="s">
        <v>1757</v>
      </c>
      <c r="C412" s="385" t="s">
        <v>1611</v>
      </c>
      <c r="D412" s="388">
        <v>57208</v>
      </c>
      <c r="E412" s="779"/>
      <c r="G412" s="97"/>
    </row>
    <row r="413" spans="1:5" ht="17.25" customHeight="1">
      <c r="A413" s="391">
        <v>7131950016</v>
      </c>
      <c r="B413" s="387" t="s">
        <v>1167</v>
      </c>
      <c r="C413" s="385" t="s">
        <v>1611</v>
      </c>
      <c r="D413" s="388">
        <v>344173</v>
      </c>
      <c r="E413" s="779"/>
    </row>
    <row r="414" spans="1:7" ht="42" customHeight="1">
      <c r="A414" s="389">
        <v>7131950065</v>
      </c>
      <c r="B414" s="387" t="s">
        <v>811</v>
      </c>
      <c r="C414" s="385" t="s">
        <v>1611</v>
      </c>
      <c r="D414" s="388">
        <v>13758</v>
      </c>
      <c r="E414" s="378" t="s">
        <v>1594</v>
      </c>
      <c r="G414" s="97"/>
    </row>
    <row r="415" spans="1:7" ht="40.5" customHeight="1">
      <c r="A415" s="385">
        <v>7131950105</v>
      </c>
      <c r="B415" s="387" t="s">
        <v>812</v>
      </c>
      <c r="C415" s="385" t="s">
        <v>1611</v>
      </c>
      <c r="D415" s="388">
        <v>17198</v>
      </c>
      <c r="E415" s="378" t="s">
        <v>1595</v>
      </c>
      <c r="G415" s="97"/>
    </row>
    <row r="416" spans="1:7" ht="29.25" customHeight="1">
      <c r="A416" s="389">
        <v>7131950200</v>
      </c>
      <c r="B416" s="387" t="s">
        <v>787</v>
      </c>
      <c r="C416" s="385" t="s">
        <v>1611</v>
      </c>
      <c r="D416" s="388">
        <v>34396</v>
      </c>
      <c r="E416" s="378" t="s">
        <v>1596</v>
      </c>
      <c r="G416" s="97"/>
    </row>
    <row r="417" spans="1:7" ht="29.25" customHeight="1">
      <c r="A417" s="389">
        <v>7131950207</v>
      </c>
      <c r="B417" s="387" t="s">
        <v>788</v>
      </c>
      <c r="C417" s="385" t="s">
        <v>1611</v>
      </c>
      <c r="D417" s="388">
        <v>45861</v>
      </c>
      <c r="E417" s="378" t="s">
        <v>1597</v>
      </c>
      <c r="G417" s="97"/>
    </row>
    <row r="418" spans="1:7" ht="29.25" customHeight="1">
      <c r="A418" s="385">
        <v>7131960006</v>
      </c>
      <c r="B418" s="407" t="s">
        <v>1166</v>
      </c>
      <c r="C418" s="385" t="s">
        <v>1611</v>
      </c>
      <c r="D418" s="388">
        <v>26078</v>
      </c>
      <c r="E418" s="378" t="s">
        <v>1598</v>
      </c>
      <c r="G418" s="97"/>
    </row>
    <row r="419" spans="1:7" ht="25.5">
      <c r="A419" s="385">
        <v>7131960007</v>
      </c>
      <c r="B419" s="407" t="s">
        <v>1058</v>
      </c>
      <c r="C419" s="385" t="s">
        <v>1611</v>
      </c>
      <c r="D419" s="388">
        <v>28850</v>
      </c>
      <c r="E419" s="378" t="s">
        <v>716</v>
      </c>
      <c r="G419" s="97"/>
    </row>
    <row r="420" spans="1:7" ht="12.75">
      <c r="A420" s="389">
        <v>7131960008</v>
      </c>
      <c r="B420" s="387" t="s">
        <v>1413</v>
      </c>
      <c r="C420" s="385" t="s">
        <v>1611</v>
      </c>
      <c r="D420" s="388">
        <v>26331</v>
      </c>
      <c r="E420" s="378" t="s">
        <v>717</v>
      </c>
      <c r="G420" s="97"/>
    </row>
    <row r="421" spans="1:7" ht="12.75">
      <c r="A421" s="385">
        <v>7131960009</v>
      </c>
      <c r="B421" s="387" t="s">
        <v>1414</v>
      </c>
      <c r="C421" s="385" t="s">
        <v>1611</v>
      </c>
      <c r="D421" s="388">
        <v>26995</v>
      </c>
      <c r="E421" s="378" t="s">
        <v>718</v>
      </c>
      <c r="G421" s="97"/>
    </row>
    <row r="422" spans="1:7" ht="18.75" customHeight="1">
      <c r="A422" s="385">
        <v>7131960520</v>
      </c>
      <c r="B422" s="387" t="s">
        <v>1415</v>
      </c>
      <c r="C422" s="385" t="s">
        <v>1611</v>
      </c>
      <c r="D422" s="388">
        <v>39700</v>
      </c>
      <c r="E422" s="378" t="s">
        <v>854</v>
      </c>
      <c r="G422" s="97"/>
    </row>
    <row r="423" spans="1:7" ht="28.5" customHeight="1">
      <c r="A423" s="385">
        <v>7131960522</v>
      </c>
      <c r="B423" s="387" t="s">
        <v>1416</v>
      </c>
      <c r="C423" s="385" t="s">
        <v>1611</v>
      </c>
      <c r="D423" s="388">
        <v>39815</v>
      </c>
      <c r="E423" s="378" t="s">
        <v>855</v>
      </c>
      <c r="G423" s="97"/>
    </row>
    <row r="424" spans="1:7" ht="28.5" customHeight="1">
      <c r="A424" s="385">
        <v>7131960524</v>
      </c>
      <c r="B424" s="387" t="s">
        <v>1057</v>
      </c>
      <c r="C424" s="385" t="s">
        <v>1611</v>
      </c>
      <c r="D424" s="388">
        <v>39815</v>
      </c>
      <c r="E424" s="378" t="s">
        <v>856</v>
      </c>
      <c r="G424" s="97"/>
    </row>
    <row r="425" spans="1:7" ht="44.25" customHeight="1">
      <c r="A425" s="393">
        <v>7132002234</v>
      </c>
      <c r="B425" s="392" t="s">
        <v>1032</v>
      </c>
      <c r="C425" s="377" t="s">
        <v>1756</v>
      </c>
      <c r="D425" s="396">
        <v>184</v>
      </c>
      <c r="E425" s="378"/>
      <c r="G425" s="97"/>
    </row>
    <row r="426" spans="1:7" ht="29.25" customHeight="1">
      <c r="A426" s="393">
        <v>7132004003</v>
      </c>
      <c r="B426" s="392" t="s">
        <v>1021</v>
      </c>
      <c r="C426" s="377" t="s">
        <v>1756</v>
      </c>
      <c r="D426" s="396">
        <v>119</v>
      </c>
      <c r="E426" s="378"/>
      <c r="G426" s="97"/>
    </row>
    <row r="427" spans="1:7" ht="15" customHeight="1">
      <c r="A427" s="393">
        <v>7132004004</v>
      </c>
      <c r="B427" s="392" t="s">
        <v>2235</v>
      </c>
      <c r="C427" s="377" t="s">
        <v>1756</v>
      </c>
      <c r="D427" s="396">
        <v>10</v>
      </c>
      <c r="E427" s="378"/>
      <c r="G427" s="97"/>
    </row>
    <row r="428" spans="1:5" ht="14.25" customHeight="1">
      <c r="A428" s="406">
        <v>7132013331</v>
      </c>
      <c r="B428" s="392" t="s">
        <v>1024</v>
      </c>
      <c r="C428" s="377" t="s">
        <v>1756</v>
      </c>
      <c r="D428" s="388">
        <v>425</v>
      </c>
      <c r="E428" s="378" t="s">
        <v>857</v>
      </c>
    </row>
    <row r="429" spans="1:7" ht="16.5" customHeight="1">
      <c r="A429" s="393">
        <v>7132014014</v>
      </c>
      <c r="B429" s="392" t="s">
        <v>330</v>
      </c>
      <c r="C429" s="377" t="s">
        <v>1756</v>
      </c>
      <c r="D429" s="396">
        <v>2700</v>
      </c>
      <c r="E429" s="378"/>
      <c r="G429" s="97"/>
    </row>
    <row r="430" spans="1:7" ht="20.25" customHeight="1">
      <c r="A430" s="393">
        <v>7132028159</v>
      </c>
      <c r="B430" s="392" t="s">
        <v>1030</v>
      </c>
      <c r="C430" s="377" t="s">
        <v>1756</v>
      </c>
      <c r="D430" s="396">
        <v>989</v>
      </c>
      <c r="E430" s="378"/>
      <c r="G430" s="97"/>
    </row>
    <row r="431" spans="1:7" ht="20.25" customHeight="1">
      <c r="A431" s="393">
        <v>7132028160</v>
      </c>
      <c r="B431" s="392" t="s">
        <v>1031</v>
      </c>
      <c r="C431" s="377" t="s">
        <v>1756</v>
      </c>
      <c r="D431" s="396">
        <v>306</v>
      </c>
      <c r="E431" s="378"/>
      <c r="G431" s="97"/>
    </row>
    <row r="432" spans="1:7" ht="17.25" customHeight="1">
      <c r="A432" s="406">
        <v>7132061858</v>
      </c>
      <c r="B432" s="392" t="s">
        <v>92</v>
      </c>
      <c r="C432" s="377" t="s">
        <v>1756</v>
      </c>
      <c r="D432" s="396">
        <v>204</v>
      </c>
      <c r="E432" s="378" t="s">
        <v>858</v>
      </c>
      <c r="G432" s="97"/>
    </row>
    <row r="433" spans="1:7" ht="20.25" customHeight="1">
      <c r="A433" s="393">
        <v>7132072006</v>
      </c>
      <c r="B433" s="392" t="s">
        <v>1027</v>
      </c>
      <c r="C433" s="377" t="s">
        <v>1756</v>
      </c>
      <c r="D433" s="396">
        <v>66</v>
      </c>
      <c r="E433" s="378" t="s">
        <v>859</v>
      </c>
      <c r="G433" s="97"/>
    </row>
    <row r="434" spans="1:7" ht="20.25" customHeight="1">
      <c r="A434" s="393">
        <v>7132072007</v>
      </c>
      <c r="B434" s="392" t="s">
        <v>1028</v>
      </c>
      <c r="C434" s="377" t="s">
        <v>1756</v>
      </c>
      <c r="D434" s="396">
        <v>62</v>
      </c>
      <c r="E434" s="378" t="s">
        <v>860</v>
      </c>
      <c r="G434" s="97"/>
    </row>
    <row r="435" spans="1:7" ht="18.75" customHeight="1">
      <c r="A435" s="393">
        <v>7132072008</v>
      </c>
      <c r="B435" s="392" t="s">
        <v>1029</v>
      </c>
      <c r="C435" s="377" t="s">
        <v>1756</v>
      </c>
      <c r="D435" s="396">
        <v>57</v>
      </c>
      <c r="E435" s="378" t="s">
        <v>1992</v>
      </c>
      <c r="G435" s="97"/>
    </row>
    <row r="436" spans="1:7" ht="16.5" customHeight="1">
      <c r="A436" s="406">
        <v>7132072522</v>
      </c>
      <c r="B436" s="392" t="s">
        <v>1026</v>
      </c>
      <c r="C436" s="377" t="s">
        <v>1756</v>
      </c>
      <c r="D436" s="396">
        <v>743</v>
      </c>
      <c r="E436" s="378" t="s">
        <v>1993</v>
      </c>
      <c r="G436" s="97"/>
    </row>
    <row r="437" spans="1:7" ht="42.75" customHeight="1">
      <c r="A437" s="393">
        <v>7132074032</v>
      </c>
      <c r="B437" s="392" t="s">
        <v>1500</v>
      </c>
      <c r="C437" s="377" t="s">
        <v>1434</v>
      </c>
      <c r="D437" s="396">
        <v>1430</v>
      </c>
      <c r="E437" s="378" t="s">
        <v>1994</v>
      </c>
      <c r="G437" s="97"/>
    </row>
    <row r="438" spans="1:7" ht="15.75" customHeight="1">
      <c r="A438" s="393">
        <v>7132074033</v>
      </c>
      <c r="B438" s="392" t="s">
        <v>1501</v>
      </c>
      <c r="C438" s="377" t="s">
        <v>1434</v>
      </c>
      <c r="D438" s="396">
        <v>591</v>
      </c>
      <c r="E438" s="378"/>
      <c r="G438" s="97"/>
    </row>
    <row r="439" spans="1:7" ht="42.75" customHeight="1">
      <c r="A439" s="393">
        <v>7132074034</v>
      </c>
      <c r="B439" s="392" t="s">
        <v>1020</v>
      </c>
      <c r="C439" s="377" t="s">
        <v>1434</v>
      </c>
      <c r="D439" s="396">
        <v>676</v>
      </c>
      <c r="E439" s="378" t="s">
        <v>1995</v>
      </c>
      <c r="G439" s="97"/>
    </row>
    <row r="440" spans="1:7" ht="27.75" customHeight="1">
      <c r="A440" s="393">
        <v>7132074035</v>
      </c>
      <c r="B440" s="392" t="s">
        <v>2241</v>
      </c>
      <c r="C440" s="377" t="s">
        <v>1756</v>
      </c>
      <c r="D440" s="396">
        <v>439</v>
      </c>
      <c r="E440" s="378"/>
      <c r="G440" s="97"/>
    </row>
    <row r="441" spans="1:7" ht="28.5" customHeight="1">
      <c r="A441" s="393">
        <v>7132074036</v>
      </c>
      <c r="B441" s="392" t="s">
        <v>1418</v>
      </c>
      <c r="C441" s="377" t="s">
        <v>1434</v>
      </c>
      <c r="D441" s="396">
        <v>1303</v>
      </c>
      <c r="E441" s="378" t="s">
        <v>1996</v>
      </c>
      <c r="G441" s="97"/>
    </row>
    <row r="442" spans="1:7" ht="16.5" customHeight="1">
      <c r="A442" s="393">
        <v>7132088614</v>
      </c>
      <c r="B442" s="392" t="s">
        <v>1502</v>
      </c>
      <c r="C442" s="377" t="s">
        <v>1756</v>
      </c>
      <c r="D442" s="396">
        <v>1086</v>
      </c>
      <c r="E442" s="378"/>
      <c r="G442" s="97"/>
    </row>
    <row r="443" spans="1:7" ht="15.75" customHeight="1">
      <c r="A443" s="393">
        <v>7132088615</v>
      </c>
      <c r="B443" s="392" t="s">
        <v>1503</v>
      </c>
      <c r="C443" s="377" t="s">
        <v>1756</v>
      </c>
      <c r="D443" s="396">
        <v>596</v>
      </c>
      <c r="E443" s="378"/>
      <c r="G443" s="97"/>
    </row>
    <row r="444" spans="1:5" ht="40.5" customHeight="1">
      <c r="A444" s="391">
        <v>7132200014</v>
      </c>
      <c r="B444" s="387" t="s">
        <v>446</v>
      </c>
      <c r="C444" s="385" t="s">
        <v>1611</v>
      </c>
      <c r="D444" s="780">
        <v>136101</v>
      </c>
      <c r="E444" s="378" t="s">
        <v>1997</v>
      </c>
    </row>
    <row r="445" spans="1:5" ht="19.5" customHeight="1">
      <c r="A445" s="385">
        <v>7132200812</v>
      </c>
      <c r="B445" s="387" t="s">
        <v>442</v>
      </c>
      <c r="C445" s="385" t="s">
        <v>1611</v>
      </c>
      <c r="D445" s="388">
        <v>1637</v>
      </c>
      <c r="E445" s="378" t="s">
        <v>1998</v>
      </c>
    </row>
    <row r="446" spans="1:5" ht="19.5" customHeight="1">
      <c r="A446" s="385">
        <v>7132200813</v>
      </c>
      <c r="B446" s="387" t="s">
        <v>443</v>
      </c>
      <c r="C446" s="385" t="s">
        <v>1611</v>
      </c>
      <c r="D446" s="388">
        <v>3272</v>
      </c>
      <c r="E446" s="378" t="s">
        <v>1998</v>
      </c>
    </row>
    <row r="447" spans="1:5" ht="19.5" customHeight="1">
      <c r="A447" s="385">
        <v>7132200814</v>
      </c>
      <c r="B447" s="387" t="s">
        <v>444</v>
      </c>
      <c r="C447" s="385" t="s">
        <v>1611</v>
      </c>
      <c r="D447" s="388">
        <v>3932</v>
      </c>
      <c r="E447" s="378" t="s">
        <v>1998</v>
      </c>
    </row>
    <row r="448" spans="1:5" ht="19.5" customHeight="1">
      <c r="A448" s="385">
        <v>7132200815</v>
      </c>
      <c r="B448" s="387" t="s">
        <v>445</v>
      </c>
      <c r="C448" s="385" t="s">
        <v>1611</v>
      </c>
      <c r="D448" s="388">
        <v>6525</v>
      </c>
      <c r="E448" s="378" t="s">
        <v>1998</v>
      </c>
    </row>
    <row r="449" spans="1:5" ht="119.25" customHeight="1">
      <c r="A449" s="389">
        <v>7132200826</v>
      </c>
      <c r="B449" s="387" t="s">
        <v>1917</v>
      </c>
      <c r="C449" s="385" t="s">
        <v>1611</v>
      </c>
      <c r="D449" s="780">
        <v>179969</v>
      </c>
      <c r="E449" s="378" t="s">
        <v>1999</v>
      </c>
    </row>
    <row r="450" spans="1:7" ht="18" customHeight="1">
      <c r="A450" s="377">
        <v>7132210007</v>
      </c>
      <c r="B450" s="387" t="s">
        <v>1124</v>
      </c>
      <c r="C450" s="385" t="s">
        <v>1611</v>
      </c>
      <c r="D450" s="396">
        <v>41602</v>
      </c>
      <c r="E450" s="378" t="s">
        <v>2000</v>
      </c>
      <c r="F450" s="209"/>
      <c r="G450" s="209"/>
    </row>
    <row r="451" spans="1:7" ht="15.75" customHeight="1">
      <c r="A451" s="377">
        <v>7132210008</v>
      </c>
      <c r="B451" s="387" t="s">
        <v>1125</v>
      </c>
      <c r="C451" s="385" t="s">
        <v>1611</v>
      </c>
      <c r="D451" s="396">
        <v>50174</v>
      </c>
      <c r="E451" s="378" t="s">
        <v>2001</v>
      </c>
      <c r="F451" s="209"/>
      <c r="G451" s="209"/>
    </row>
    <row r="452" spans="1:7" ht="18" customHeight="1">
      <c r="A452" s="377">
        <v>7132210009</v>
      </c>
      <c r="B452" s="387" t="s">
        <v>1126</v>
      </c>
      <c r="C452" s="385" t="s">
        <v>1611</v>
      </c>
      <c r="D452" s="388">
        <v>84020</v>
      </c>
      <c r="E452" s="378" t="s">
        <v>2002</v>
      </c>
      <c r="F452" s="194"/>
      <c r="G452" s="194"/>
    </row>
    <row r="453" spans="1:5" ht="19.5" customHeight="1" hidden="1">
      <c r="A453" s="492">
        <v>7132210009</v>
      </c>
      <c r="B453" s="493" t="s">
        <v>1126</v>
      </c>
      <c r="C453" s="494" t="s">
        <v>1611</v>
      </c>
      <c r="D453" s="496" t="s">
        <v>1855</v>
      </c>
      <c r="E453" s="555" t="s">
        <v>2002</v>
      </c>
    </row>
    <row r="454" spans="1:7" ht="16.5" customHeight="1">
      <c r="A454" s="377">
        <v>7132210010</v>
      </c>
      <c r="B454" s="387" t="s">
        <v>1127</v>
      </c>
      <c r="C454" s="385" t="s">
        <v>1611</v>
      </c>
      <c r="D454" s="396">
        <v>116682</v>
      </c>
      <c r="E454" s="378" t="s">
        <v>1776</v>
      </c>
      <c r="F454" s="194"/>
      <c r="G454" s="194"/>
    </row>
    <row r="455" spans="1:7" ht="18" customHeight="1">
      <c r="A455" s="377">
        <v>7132210011</v>
      </c>
      <c r="B455" s="387" t="s">
        <v>1128</v>
      </c>
      <c r="C455" s="385" t="s">
        <v>1611</v>
      </c>
      <c r="D455" s="396">
        <v>204592</v>
      </c>
      <c r="E455" s="378" t="s">
        <v>1777</v>
      </c>
      <c r="F455" s="194"/>
      <c r="G455" s="194"/>
    </row>
    <row r="456" spans="1:7" ht="16.5" customHeight="1">
      <c r="A456" s="377">
        <v>7132210012</v>
      </c>
      <c r="B456" s="387" t="s">
        <v>890</v>
      </c>
      <c r="C456" s="385" t="s">
        <v>1611</v>
      </c>
      <c r="D456" s="396">
        <v>384155</v>
      </c>
      <c r="E456" s="378" t="s">
        <v>1778</v>
      </c>
      <c r="F456" s="194"/>
      <c r="G456" s="194"/>
    </row>
    <row r="457" spans="1:8" ht="18" customHeight="1">
      <c r="A457" s="385">
        <v>7132210077</v>
      </c>
      <c r="B457" s="387" t="s">
        <v>1047</v>
      </c>
      <c r="C457" s="385" t="s">
        <v>1611</v>
      </c>
      <c r="D457" s="396">
        <v>25351</v>
      </c>
      <c r="E457" s="378" t="s">
        <v>1779</v>
      </c>
      <c r="F457" s="786" t="s">
        <v>1003</v>
      </c>
      <c r="G457" s="786"/>
      <c r="H457" s="151"/>
    </row>
    <row r="458" spans="1:8" ht="18" customHeight="1">
      <c r="A458" s="385">
        <v>7132210078</v>
      </c>
      <c r="B458" s="387" t="s">
        <v>1048</v>
      </c>
      <c r="C458" s="385" t="s">
        <v>1611</v>
      </c>
      <c r="D458" s="396">
        <v>36194</v>
      </c>
      <c r="E458" s="378" t="s">
        <v>112</v>
      </c>
      <c r="F458" s="786" t="s">
        <v>1003</v>
      </c>
      <c r="G458" s="786"/>
      <c r="H458" s="151"/>
    </row>
    <row r="459" spans="1:7" s="501" customFormat="1" ht="15" customHeight="1" hidden="1">
      <c r="A459" s="492">
        <v>7132210079</v>
      </c>
      <c r="B459" s="493" t="s">
        <v>1129</v>
      </c>
      <c r="C459" s="494" t="s">
        <v>1611</v>
      </c>
      <c r="D459" s="496">
        <v>52823</v>
      </c>
      <c r="E459" s="555" t="s">
        <v>113</v>
      </c>
      <c r="F459" s="499"/>
      <c r="G459" s="500"/>
    </row>
    <row r="460" spans="1:6" s="501" customFormat="1" ht="25.5" hidden="1">
      <c r="A460" s="492">
        <v>7132210107</v>
      </c>
      <c r="B460" s="502" t="s">
        <v>1920</v>
      </c>
      <c r="C460" s="492" t="s">
        <v>83</v>
      </c>
      <c r="D460" s="497">
        <v>63182</v>
      </c>
      <c r="E460" s="555" t="s">
        <v>114</v>
      </c>
      <c r="F460" s="499"/>
    </row>
    <row r="461" spans="1:7" s="501" customFormat="1" ht="14.25" hidden="1">
      <c r="A461" s="503">
        <v>7132210108</v>
      </c>
      <c r="B461" s="504" t="s">
        <v>881</v>
      </c>
      <c r="C461" s="505" t="s">
        <v>1611</v>
      </c>
      <c r="D461" s="498">
        <v>47679</v>
      </c>
      <c r="E461" s="556" t="s">
        <v>115</v>
      </c>
      <c r="F461" s="499"/>
      <c r="G461" s="500"/>
    </row>
    <row r="462" spans="1:7" s="501" customFormat="1" ht="14.25" hidden="1">
      <c r="A462" s="503">
        <v>7132210109</v>
      </c>
      <c r="B462" s="504" t="s">
        <v>885</v>
      </c>
      <c r="C462" s="505" t="s">
        <v>1611</v>
      </c>
      <c r="D462" s="498">
        <v>41834</v>
      </c>
      <c r="E462" s="556" t="s">
        <v>116</v>
      </c>
      <c r="F462" s="499"/>
      <c r="G462" s="500"/>
    </row>
    <row r="463" spans="1:7" s="501" customFormat="1" ht="14.25" hidden="1">
      <c r="A463" s="503">
        <v>7132210116</v>
      </c>
      <c r="B463" s="504" t="s">
        <v>882</v>
      </c>
      <c r="C463" s="505" t="s">
        <v>1611</v>
      </c>
      <c r="D463" s="498">
        <v>82795</v>
      </c>
      <c r="E463" s="556" t="s">
        <v>117</v>
      </c>
      <c r="F463" s="499"/>
      <c r="G463" s="500"/>
    </row>
    <row r="464" spans="1:7" s="501" customFormat="1" ht="14.25" hidden="1">
      <c r="A464" s="503">
        <v>7132210117</v>
      </c>
      <c r="B464" s="504" t="s">
        <v>883</v>
      </c>
      <c r="C464" s="505" t="s">
        <v>1611</v>
      </c>
      <c r="D464" s="498">
        <v>112713</v>
      </c>
      <c r="E464" s="556" t="s">
        <v>118</v>
      </c>
      <c r="F464" s="499"/>
      <c r="G464" s="500"/>
    </row>
    <row r="465" spans="1:7" s="501" customFormat="1" ht="14.25" hidden="1">
      <c r="A465" s="503">
        <v>7132210118</v>
      </c>
      <c r="B465" s="504" t="s">
        <v>888</v>
      </c>
      <c r="C465" s="505" t="s">
        <v>1611</v>
      </c>
      <c r="D465" s="498">
        <v>237089</v>
      </c>
      <c r="E465" s="556" t="s">
        <v>119</v>
      </c>
      <c r="F465" s="499"/>
      <c r="G465" s="500"/>
    </row>
    <row r="466" spans="1:7" s="501" customFormat="1" ht="14.25" hidden="1">
      <c r="A466" s="503">
        <v>7132210120</v>
      </c>
      <c r="B466" s="504" t="s">
        <v>884</v>
      </c>
      <c r="C466" s="505" t="s">
        <v>1611</v>
      </c>
      <c r="D466" s="498">
        <v>204019</v>
      </c>
      <c r="E466" s="556" t="s">
        <v>120</v>
      </c>
      <c r="F466" s="499"/>
      <c r="G466" s="500"/>
    </row>
    <row r="467" spans="1:7" s="501" customFormat="1" ht="14.25" hidden="1">
      <c r="A467" s="503">
        <v>7132210125</v>
      </c>
      <c r="B467" s="504" t="s">
        <v>889</v>
      </c>
      <c r="C467" s="505" t="s">
        <v>1611</v>
      </c>
      <c r="D467" s="498">
        <v>322632</v>
      </c>
      <c r="E467" s="556" t="s">
        <v>121</v>
      </c>
      <c r="F467" s="499"/>
      <c r="G467" s="500"/>
    </row>
    <row r="468" spans="1:8" ht="15">
      <c r="A468" s="379">
        <v>7132210127</v>
      </c>
      <c r="B468" s="380" t="s">
        <v>891</v>
      </c>
      <c r="C468" s="381" t="s">
        <v>1611</v>
      </c>
      <c r="D468" s="382">
        <v>538012</v>
      </c>
      <c r="E468" s="554" t="s">
        <v>122</v>
      </c>
      <c r="F468" s="786" t="s">
        <v>1003</v>
      </c>
      <c r="G468" s="786"/>
      <c r="H468" s="151"/>
    </row>
    <row r="469" spans="1:7" ht="14.25">
      <c r="A469" s="381">
        <v>7132210215</v>
      </c>
      <c r="B469" s="380" t="s">
        <v>1049</v>
      </c>
      <c r="C469" s="381" t="s">
        <v>1611</v>
      </c>
      <c r="D469" s="383">
        <v>133346</v>
      </c>
      <c r="E469" s="554" t="s">
        <v>123</v>
      </c>
      <c r="F469" s="194"/>
      <c r="G469" s="194"/>
    </row>
    <row r="470" spans="1:7" ht="14.25" hidden="1">
      <c r="A470" s="492">
        <v>7132210231</v>
      </c>
      <c r="B470" s="493" t="s">
        <v>886</v>
      </c>
      <c r="C470" s="494" t="s">
        <v>1611</v>
      </c>
      <c r="D470" s="496">
        <v>69656</v>
      </c>
      <c r="E470" s="555" t="s">
        <v>124</v>
      </c>
      <c r="F470" s="499"/>
      <c r="G470" s="194"/>
    </row>
    <row r="471" spans="1:7" ht="14.25" hidden="1">
      <c r="A471" s="492">
        <v>7132210234</v>
      </c>
      <c r="B471" s="493" t="s">
        <v>887</v>
      </c>
      <c r="C471" s="494" t="s">
        <v>1611</v>
      </c>
      <c r="D471" s="496">
        <v>87074</v>
      </c>
      <c r="E471" s="555" t="s">
        <v>125</v>
      </c>
      <c r="F471" s="499"/>
      <c r="G471" s="194"/>
    </row>
    <row r="472" spans="1:5" ht="12.75">
      <c r="A472" s="389">
        <v>7132220091</v>
      </c>
      <c r="B472" s="387" t="s">
        <v>825</v>
      </c>
      <c r="C472" s="385" t="s">
        <v>1611</v>
      </c>
      <c r="D472" s="780">
        <v>809678</v>
      </c>
      <c r="E472" s="378" t="s">
        <v>126</v>
      </c>
    </row>
    <row r="473" spans="1:5" ht="12.75">
      <c r="A473" s="389">
        <v>7132220095</v>
      </c>
      <c r="B473" s="387" t="s">
        <v>2242</v>
      </c>
      <c r="C473" s="385" t="s">
        <v>1611</v>
      </c>
      <c r="D473" s="388">
        <v>2033847</v>
      </c>
      <c r="E473" s="378" t="s">
        <v>1804</v>
      </c>
    </row>
    <row r="474" spans="1:5" ht="16.5" customHeight="1">
      <c r="A474" s="389">
        <v>7132220097</v>
      </c>
      <c r="B474" s="387" t="s">
        <v>2243</v>
      </c>
      <c r="C474" s="385" t="s">
        <v>1611</v>
      </c>
      <c r="D474" s="388">
        <v>2898351</v>
      </c>
      <c r="E474" s="378" t="s">
        <v>1805</v>
      </c>
    </row>
    <row r="475" spans="1:5" ht="25.5">
      <c r="A475" s="394">
        <v>7132230015</v>
      </c>
      <c r="B475" s="387" t="s">
        <v>2244</v>
      </c>
      <c r="C475" s="385" t="s">
        <v>1611</v>
      </c>
      <c r="D475" s="388">
        <v>211216</v>
      </c>
      <c r="E475" s="378" t="s">
        <v>302</v>
      </c>
    </row>
    <row r="476" spans="1:5" ht="12.75">
      <c r="A476" s="389">
        <v>7132230016</v>
      </c>
      <c r="B476" s="387" t="s">
        <v>2245</v>
      </c>
      <c r="C476" s="385" t="s">
        <v>1611</v>
      </c>
      <c r="D476" s="388">
        <v>320</v>
      </c>
      <c r="E476" s="378" t="s">
        <v>303</v>
      </c>
    </row>
    <row r="477" spans="1:5" ht="25.5">
      <c r="A477" s="394">
        <v>7132230017</v>
      </c>
      <c r="B477" s="387" t="s">
        <v>678</v>
      </c>
      <c r="C477" s="385" t="s">
        <v>1611</v>
      </c>
      <c r="D477" s="388">
        <v>194952</v>
      </c>
      <c r="E477" s="378" t="s">
        <v>304</v>
      </c>
    </row>
    <row r="478" spans="1:5" ht="12.75" customHeight="1">
      <c r="A478" s="389">
        <v>7132230019</v>
      </c>
      <c r="B478" s="387" t="s">
        <v>2246</v>
      </c>
      <c r="C478" s="385" t="s">
        <v>1611</v>
      </c>
      <c r="D478" s="388">
        <v>320</v>
      </c>
      <c r="E478" s="378" t="s">
        <v>305</v>
      </c>
    </row>
    <row r="479" spans="1:5" ht="12.75">
      <c r="A479" s="389">
        <v>7132230021</v>
      </c>
      <c r="B479" s="387" t="s">
        <v>2247</v>
      </c>
      <c r="C479" s="385" t="s">
        <v>1611</v>
      </c>
      <c r="D479" s="388">
        <v>256</v>
      </c>
      <c r="E479" s="378" t="s">
        <v>306</v>
      </c>
    </row>
    <row r="480" spans="1:5" ht="12.75">
      <c r="A480" s="389">
        <v>7132230024</v>
      </c>
      <c r="B480" s="387" t="s">
        <v>2248</v>
      </c>
      <c r="C480" s="385" t="s">
        <v>1611</v>
      </c>
      <c r="D480" s="388">
        <v>256</v>
      </c>
      <c r="E480" s="378" t="s">
        <v>307</v>
      </c>
    </row>
    <row r="481" spans="1:5" ht="12.75">
      <c r="A481" s="385">
        <v>7132230039</v>
      </c>
      <c r="B481" s="392" t="s">
        <v>2249</v>
      </c>
      <c r="C481" s="385" t="s">
        <v>1331</v>
      </c>
      <c r="D481" s="388">
        <v>517339</v>
      </c>
      <c r="E481" s="378" t="s">
        <v>308</v>
      </c>
    </row>
    <row r="482" spans="1:5" ht="25.5">
      <c r="A482" s="385">
        <v>7132230043</v>
      </c>
      <c r="B482" s="387" t="s">
        <v>554</v>
      </c>
      <c r="C482" s="385" t="s">
        <v>1611</v>
      </c>
      <c r="D482" s="780">
        <v>19270</v>
      </c>
      <c r="E482" s="378" t="s">
        <v>309</v>
      </c>
    </row>
    <row r="483" spans="1:5" ht="12.75">
      <c r="A483" s="381">
        <v>7132230065</v>
      </c>
      <c r="B483" s="395" t="s">
        <v>924</v>
      </c>
      <c r="C483" s="381" t="s">
        <v>1331</v>
      </c>
      <c r="D483" s="383">
        <v>330318</v>
      </c>
      <c r="E483" s="554" t="s">
        <v>310</v>
      </c>
    </row>
    <row r="484" spans="1:5" ht="12.75">
      <c r="A484" s="381">
        <v>7132230075</v>
      </c>
      <c r="B484" s="395" t="s">
        <v>925</v>
      </c>
      <c r="C484" s="381" t="s">
        <v>1331</v>
      </c>
      <c r="D484" s="383">
        <v>377251</v>
      </c>
      <c r="E484" s="554" t="s">
        <v>311</v>
      </c>
    </row>
    <row r="485" spans="1:5" ht="12.75">
      <c r="A485" s="381">
        <v>7132230076</v>
      </c>
      <c r="B485" s="395" t="s">
        <v>792</v>
      </c>
      <c r="C485" s="381" t="s">
        <v>1331</v>
      </c>
      <c r="D485" s="383">
        <v>832804</v>
      </c>
      <c r="E485" s="554" t="s">
        <v>312</v>
      </c>
    </row>
    <row r="486" spans="1:5" ht="12.75">
      <c r="A486" s="381">
        <v>7132230077</v>
      </c>
      <c r="B486" s="395" t="s">
        <v>793</v>
      </c>
      <c r="C486" s="381" t="s">
        <v>1331</v>
      </c>
      <c r="D486" s="383">
        <v>544965</v>
      </c>
      <c r="E486" s="554" t="s">
        <v>141</v>
      </c>
    </row>
    <row r="487" spans="1:5" ht="12.75">
      <c r="A487" s="381">
        <v>7132230078</v>
      </c>
      <c r="B487" s="395" t="s">
        <v>2297</v>
      </c>
      <c r="C487" s="381" t="s">
        <v>1331</v>
      </c>
      <c r="D487" s="383">
        <v>504120</v>
      </c>
      <c r="E487" s="554" t="s">
        <v>142</v>
      </c>
    </row>
    <row r="488" spans="1:5" ht="12.75">
      <c r="A488" s="391">
        <v>7132230088</v>
      </c>
      <c r="B488" s="387" t="s">
        <v>2298</v>
      </c>
      <c r="C488" s="385" t="s">
        <v>1611</v>
      </c>
      <c r="D488" s="388">
        <v>31525</v>
      </c>
      <c r="E488" s="554"/>
    </row>
    <row r="489" spans="1:5" ht="12.75">
      <c r="A489" s="391">
        <v>7132230089</v>
      </c>
      <c r="B489" s="387" t="s">
        <v>2299</v>
      </c>
      <c r="C489" s="385" t="s">
        <v>1611</v>
      </c>
      <c r="D489" s="388">
        <v>69812</v>
      </c>
      <c r="E489" s="554" t="s">
        <v>143</v>
      </c>
    </row>
    <row r="490" spans="1:5" ht="15" customHeight="1">
      <c r="A490" s="389">
        <v>7132230185</v>
      </c>
      <c r="B490" s="387" t="s">
        <v>2300</v>
      </c>
      <c r="C490" s="385" t="s">
        <v>1611</v>
      </c>
      <c r="D490" s="388">
        <v>9356</v>
      </c>
      <c r="E490" s="378" t="s">
        <v>144</v>
      </c>
    </row>
    <row r="491" spans="1:5" ht="15" customHeight="1">
      <c r="A491" s="389">
        <v>7132230188</v>
      </c>
      <c r="B491" s="387" t="s">
        <v>2301</v>
      </c>
      <c r="C491" s="385" t="s">
        <v>1611</v>
      </c>
      <c r="D491" s="388">
        <v>9356</v>
      </c>
      <c r="E491" s="378" t="s">
        <v>145</v>
      </c>
    </row>
    <row r="492" spans="1:5" ht="15.75" customHeight="1">
      <c r="A492" s="389">
        <v>7132230263</v>
      </c>
      <c r="B492" s="387" t="s">
        <v>555</v>
      </c>
      <c r="C492" s="385" t="s">
        <v>1611</v>
      </c>
      <c r="D492" s="388">
        <v>20033</v>
      </c>
      <c r="E492" s="378" t="s">
        <v>146</v>
      </c>
    </row>
    <row r="493" spans="1:5" ht="12.75" customHeight="1">
      <c r="A493" s="389">
        <v>7132230265</v>
      </c>
      <c r="B493" s="387" t="s">
        <v>556</v>
      </c>
      <c r="C493" s="385" t="s">
        <v>1611</v>
      </c>
      <c r="D493" s="388">
        <v>15559</v>
      </c>
      <c r="E493" s="378" t="s">
        <v>147</v>
      </c>
    </row>
    <row r="494" spans="1:5" ht="13.5" customHeight="1">
      <c r="A494" s="389">
        <v>7132230304</v>
      </c>
      <c r="B494" s="387" t="s">
        <v>557</v>
      </c>
      <c r="C494" s="385" t="s">
        <v>1611</v>
      </c>
      <c r="D494" s="780">
        <v>15260</v>
      </c>
      <c r="E494" s="378" t="s">
        <v>285</v>
      </c>
    </row>
    <row r="495" spans="1:5" ht="12.75">
      <c r="A495" s="381">
        <v>7132230330</v>
      </c>
      <c r="B495" s="395" t="s">
        <v>2302</v>
      </c>
      <c r="C495" s="381" t="s">
        <v>1331</v>
      </c>
      <c r="D495" s="383">
        <v>373390</v>
      </c>
      <c r="E495" s="378" t="s">
        <v>1535</v>
      </c>
    </row>
    <row r="496" spans="1:5" ht="12.75">
      <c r="A496" s="381">
        <v>7132230332</v>
      </c>
      <c r="B496" s="395" t="s">
        <v>2303</v>
      </c>
      <c r="C496" s="381" t="s">
        <v>1331</v>
      </c>
      <c r="D496" s="383">
        <v>345467</v>
      </c>
      <c r="E496" s="378" t="s">
        <v>1536</v>
      </c>
    </row>
    <row r="497" spans="1:5" ht="12.75">
      <c r="A497" s="381">
        <v>7132230336</v>
      </c>
      <c r="B497" s="395" t="s">
        <v>2304</v>
      </c>
      <c r="C497" s="381" t="s">
        <v>1331</v>
      </c>
      <c r="D497" s="383">
        <v>302247</v>
      </c>
      <c r="E497" s="378" t="s">
        <v>1537</v>
      </c>
    </row>
    <row r="498" spans="1:5" ht="12.75">
      <c r="A498" s="389">
        <v>7132230394</v>
      </c>
      <c r="B498" s="387" t="s">
        <v>2305</v>
      </c>
      <c r="C498" s="385" t="s">
        <v>1611</v>
      </c>
      <c r="D498" s="388">
        <v>36849</v>
      </c>
      <c r="E498" s="378" t="s">
        <v>1538</v>
      </c>
    </row>
    <row r="499" spans="1:5" ht="12.75">
      <c r="A499" s="385">
        <v>7132230395</v>
      </c>
      <c r="B499" s="387" t="s">
        <v>2306</v>
      </c>
      <c r="C499" s="385" t="s">
        <v>1611</v>
      </c>
      <c r="D499" s="388">
        <v>33142</v>
      </c>
      <c r="E499" s="378" t="s">
        <v>1639</v>
      </c>
    </row>
    <row r="500" spans="1:5" ht="12.75">
      <c r="A500" s="389">
        <v>7132230396</v>
      </c>
      <c r="B500" s="387" t="s">
        <v>2307</v>
      </c>
      <c r="C500" s="385" t="s">
        <v>1611</v>
      </c>
      <c r="D500" s="388">
        <v>33401</v>
      </c>
      <c r="E500" s="378" t="s">
        <v>1640</v>
      </c>
    </row>
    <row r="501" spans="1:5" ht="12.75">
      <c r="A501" s="389">
        <v>7132230399</v>
      </c>
      <c r="B501" s="387" t="s">
        <v>2308</v>
      </c>
      <c r="C501" s="385" t="s">
        <v>1611</v>
      </c>
      <c r="D501" s="388">
        <v>31523</v>
      </c>
      <c r="E501" s="378" t="s">
        <v>1641</v>
      </c>
    </row>
    <row r="502" spans="1:5" ht="12.75">
      <c r="A502" s="389">
        <v>7132230401</v>
      </c>
      <c r="B502" s="387" t="s">
        <v>2309</v>
      </c>
      <c r="C502" s="385" t="s">
        <v>1611</v>
      </c>
      <c r="D502" s="388">
        <v>32154</v>
      </c>
      <c r="E502" s="378" t="s">
        <v>1642</v>
      </c>
    </row>
    <row r="503" spans="1:5" ht="12.75">
      <c r="A503" s="389">
        <v>7132230406</v>
      </c>
      <c r="B503" s="387" t="s">
        <v>2310</v>
      </c>
      <c r="C503" s="385" t="s">
        <v>1611</v>
      </c>
      <c r="D503" s="388">
        <v>32154</v>
      </c>
      <c r="E503" s="378" t="s">
        <v>1643</v>
      </c>
    </row>
    <row r="504" spans="1:5" ht="12.75">
      <c r="A504" s="389">
        <v>7132230412</v>
      </c>
      <c r="B504" s="387" t="s">
        <v>1983</v>
      </c>
      <c r="C504" s="385" t="s">
        <v>1611</v>
      </c>
      <c r="D504" s="388">
        <v>31171</v>
      </c>
      <c r="E504" s="378" t="s">
        <v>1644</v>
      </c>
    </row>
    <row r="505" spans="1:5" ht="12.75">
      <c r="A505" s="389">
        <v>7132230414</v>
      </c>
      <c r="B505" s="387" t="s">
        <v>2311</v>
      </c>
      <c r="C505" s="385" t="s">
        <v>1611</v>
      </c>
      <c r="D505" s="388">
        <v>32154</v>
      </c>
      <c r="E505" s="378" t="s">
        <v>1645</v>
      </c>
    </row>
    <row r="506" spans="1:5" ht="12.75">
      <c r="A506" s="389">
        <v>7132230418</v>
      </c>
      <c r="B506" s="387" t="s">
        <v>2312</v>
      </c>
      <c r="C506" s="385" t="s">
        <v>1611</v>
      </c>
      <c r="D506" s="388">
        <v>67330</v>
      </c>
      <c r="E506" s="378" t="s">
        <v>1646</v>
      </c>
    </row>
    <row r="507" spans="1:5" ht="12.75">
      <c r="A507" s="389">
        <v>7132230427</v>
      </c>
      <c r="B507" s="387" t="s">
        <v>1981</v>
      </c>
      <c r="C507" s="385" t="s">
        <v>1611</v>
      </c>
      <c r="D507" s="388">
        <v>67142</v>
      </c>
      <c r="E507" s="378" t="s">
        <v>1647</v>
      </c>
    </row>
    <row r="508" spans="1:5" ht="12.75">
      <c r="A508" s="389">
        <v>7132230447</v>
      </c>
      <c r="B508" s="387" t="s">
        <v>2313</v>
      </c>
      <c r="C508" s="385" t="s">
        <v>1611</v>
      </c>
      <c r="D508" s="388">
        <v>80117</v>
      </c>
      <c r="E508" s="378" t="s">
        <v>1648</v>
      </c>
    </row>
    <row r="509" spans="1:5" ht="12.75">
      <c r="A509" s="389">
        <v>7132230448</v>
      </c>
      <c r="B509" s="387" t="s">
        <v>2314</v>
      </c>
      <c r="C509" s="385" t="s">
        <v>1611</v>
      </c>
      <c r="D509" s="388">
        <v>67330</v>
      </c>
      <c r="E509" s="378" t="s">
        <v>1649</v>
      </c>
    </row>
    <row r="510" spans="1:5" ht="12.75">
      <c r="A510" s="389">
        <v>7132230449</v>
      </c>
      <c r="B510" s="387" t="s">
        <v>2315</v>
      </c>
      <c r="C510" s="385" t="s">
        <v>1611</v>
      </c>
      <c r="D510" s="388">
        <v>67330</v>
      </c>
      <c r="E510" s="378" t="s">
        <v>48</v>
      </c>
    </row>
    <row r="511" spans="1:5" ht="12.75">
      <c r="A511" s="389">
        <v>7132230450</v>
      </c>
      <c r="B511" s="387" t="s">
        <v>2316</v>
      </c>
      <c r="C511" s="385" t="s">
        <v>1611</v>
      </c>
      <c r="D511" s="388">
        <v>67330</v>
      </c>
      <c r="E511" s="378" t="s">
        <v>49</v>
      </c>
    </row>
    <row r="512" spans="1:5" ht="12.75">
      <c r="A512" s="389">
        <v>7132230453</v>
      </c>
      <c r="B512" s="387" t="s">
        <v>2317</v>
      </c>
      <c r="C512" s="385" t="s">
        <v>1611</v>
      </c>
      <c r="D512" s="388">
        <v>67330</v>
      </c>
      <c r="E512" s="378" t="s">
        <v>50</v>
      </c>
    </row>
    <row r="513" spans="1:5" ht="14.25" customHeight="1">
      <c r="A513" s="389">
        <v>7132230455</v>
      </c>
      <c r="B513" s="392" t="s">
        <v>674</v>
      </c>
      <c r="C513" s="385" t="s">
        <v>1611</v>
      </c>
      <c r="D513" s="388">
        <v>67330</v>
      </c>
      <c r="E513" s="378" t="s">
        <v>819</v>
      </c>
    </row>
    <row r="514" spans="1:5" ht="12.75">
      <c r="A514" s="385">
        <v>7132230457</v>
      </c>
      <c r="B514" s="387" t="s">
        <v>675</v>
      </c>
      <c r="C514" s="385" t="s">
        <v>1611</v>
      </c>
      <c r="D514" s="388">
        <v>68762</v>
      </c>
      <c r="E514" s="378" t="s">
        <v>571</v>
      </c>
    </row>
    <row r="515" spans="1:9" ht="12.75">
      <c r="A515" s="389">
        <v>7132230056</v>
      </c>
      <c r="B515" s="387" t="s">
        <v>558</v>
      </c>
      <c r="C515" s="385" t="s">
        <v>1611</v>
      </c>
      <c r="D515" s="388">
        <v>9356</v>
      </c>
      <c r="E515" s="378" t="s">
        <v>572</v>
      </c>
      <c r="I515" s="585"/>
    </row>
    <row r="516" spans="1:9" ht="12.75">
      <c r="A516" s="389">
        <v>7132230057</v>
      </c>
      <c r="B516" s="387" t="s">
        <v>1758</v>
      </c>
      <c r="C516" s="385" t="s">
        <v>1611</v>
      </c>
      <c r="D516" s="388">
        <v>16904</v>
      </c>
      <c r="E516" s="378" t="s">
        <v>573</v>
      </c>
      <c r="I516" s="585"/>
    </row>
    <row r="517" spans="1:5" ht="12.75">
      <c r="A517" s="381">
        <v>7132230501</v>
      </c>
      <c r="B517" s="390" t="s">
        <v>1759</v>
      </c>
      <c r="C517" s="381" t="s">
        <v>1331</v>
      </c>
      <c r="D517" s="383">
        <v>258284</v>
      </c>
      <c r="E517" s="378" t="s">
        <v>574</v>
      </c>
    </row>
    <row r="518" spans="1:5" ht="12.75">
      <c r="A518" s="381">
        <v>7132230511</v>
      </c>
      <c r="B518" s="390" t="s">
        <v>1760</v>
      </c>
      <c r="C518" s="381" t="s">
        <v>1331</v>
      </c>
      <c r="D518" s="383">
        <v>610018</v>
      </c>
      <c r="E518" s="378" t="s">
        <v>575</v>
      </c>
    </row>
    <row r="519" spans="1:7" ht="12.75">
      <c r="A519" s="393">
        <v>7132404015</v>
      </c>
      <c r="B519" s="395" t="s">
        <v>1368</v>
      </c>
      <c r="C519" s="377" t="s">
        <v>1756</v>
      </c>
      <c r="D519" s="396">
        <v>549</v>
      </c>
      <c r="E519" s="378" t="s">
        <v>576</v>
      </c>
      <c r="G519" s="97"/>
    </row>
    <row r="520" spans="1:5" ht="12.75">
      <c r="A520" s="393">
        <v>7132404016</v>
      </c>
      <c r="B520" s="395" t="s">
        <v>1369</v>
      </c>
      <c r="C520" s="377" t="s">
        <v>1756</v>
      </c>
      <c r="D520" s="396">
        <v>127</v>
      </c>
      <c r="E520" s="378" t="s">
        <v>96</v>
      </c>
    </row>
    <row r="521" spans="1:5" ht="25.5">
      <c r="A521" s="386">
        <v>7132404366</v>
      </c>
      <c r="B521" s="380" t="s">
        <v>1120</v>
      </c>
      <c r="C521" s="381" t="s">
        <v>1331</v>
      </c>
      <c r="D521" s="383">
        <v>57653</v>
      </c>
      <c r="E521" s="378" t="s">
        <v>97</v>
      </c>
    </row>
    <row r="522" spans="1:7" ht="25.5">
      <c r="A522" s="393">
        <v>7132406022</v>
      </c>
      <c r="B522" s="392" t="s">
        <v>1563</v>
      </c>
      <c r="C522" s="377" t="s">
        <v>1756</v>
      </c>
      <c r="D522" s="396">
        <v>131</v>
      </c>
      <c r="E522" s="378" t="s">
        <v>422</v>
      </c>
      <c r="G522" s="97"/>
    </row>
    <row r="523" spans="1:5" ht="25.5">
      <c r="A523" s="389">
        <v>7132406420</v>
      </c>
      <c r="B523" s="387" t="s">
        <v>549</v>
      </c>
      <c r="C523" s="385" t="s">
        <v>1611</v>
      </c>
      <c r="D523" s="388">
        <v>2437</v>
      </c>
      <c r="E523" s="378" t="s">
        <v>423</v>
      </c>
    </row>
    <row r="524" spans="1:5" ht="12.75">
      <c r="A524" s="386">
        <v>7132406425</v>
      </c>
      <c r="B524" s="380" t="s">
        <v>628</v>
      </c>
      <c r="C524" s="381" t="s">
        <v>1611</v>
      </c>
      <c r="D524" s="383">
        <v>2553</v>
      </c>
      <c r="E524" s="378" t="s">
        <v>628</v>
      </c>
    </row>
    <row r="525" spans="1:5" ht="25.5">
      <c r="A525" s="389">
        <v>7132406721</v>
      </c>
      <c r="B525" s="387" t="s">
        <v>1289</v>
      </c>
      <c r="C525" s="385" t="s">
        <v>1611</v>
      </c>
      <c r="D525" s="388">
        <v>2068</v>
      </c>
      <c r="E525" s="378" t="s">
        <v>424</v>
      </c>
    </row>
    <row r="526" spans="1:5" ht="16.5" customHeight="1">
      <c r="A526" s="406">
        <v>7132411894</v>
      </c>
      <c r="B526" s="392" t="s">
        <v>328</v>
      </c>
      <c r="C526" s="377" t="s">
        <v>1324</v>
      </c>
      <c r="D526" s="396">
        <v>455</v>
      </c>
      <c r="E526" s="378" t="s">
        <v>1655</v>
      </c>
    </row>
    <row r="527" spans="1:7" ht="31.5" customHeight="1">
      <c r="A527" s="406">
        <v>7132421002</v>
      </c>
      <c r="B527" s="387" t="s">
        <v>1534</v>
      </c>
      <c r="C527" s="385" t="s">
        <v>83</v>
      </c>
      <c r="D527" s="388">
        <v>5166</v>
      </c>
      <c r="E527" s="378" t="s">
        <v>1656</v>
      </c>
      <c r="G527" s="97"/>
    </row>
    <row r="528" spans="1:7" ht="12.75">
      <c r="A528" s="393">
        <v>7132427634</v>
      </c>
      <c r="B528" s="395" t="s">
        <v>2220</v>
      </c>
      <c r="C528" s="377" t="s">
        <v>1756</v>
      </c>
      <c r="D528" s="396">
        <v>771</v>
      </c>
      <c r="E528" s="378" t="s">
        <v>1657</v>
      </c>
      <c r="G528" s="97"/>
    </row>
    <row r="529" spans="1:7" ht="12.75">
      <c r="A529" s="393">
        <v>7132427635</v>
      </c>
      <c r="B529" s="395" t="s">
        <v>2221</v>
      </c>
      <c r="C529" s="377" t="s">
        <v>1756</v>
      </c>
      <c r="D529" s="396">
        <v>519</v>
      </c>
      <c r="E529" s="378" t="s">
        <v>1658</v>
      </c>
      <c r="G529" s="97"/>
    </row>
    <row r="530" spans="1:7" ht="12.75">
      <c r="A530" s="393">
        <v>7132438002</v>
      </c>
      <c r="B530" s="392" t="s">
        <v>2094</v>
      </c>
      <c r="C530" s="377" t="s">
        <v>1576</v>
      </c>
      <c r="D530" s="396">
        <v>163</v>
      </c>
      <c r="E530" s="378" t="s">
        <v>1659</v>
      </c>
      <c r="G530" s="97"/>
    </row>
    <row r="531" spans="1:5" ht="12.75">
      <c r="A531" s="381">
        <v>7132444005</v>
      </c>
      <c r="B531" s="395" t="s">
        <v>965</v>
      </c>
      <c r="C531" s="381" t="s">
        <v>1611</v>
      </c>
      <c r="D531" s="383">
        <v>4</v>
      </c>
      <c r="E531" s="378" t="s">
        <v>1370</v>
      </c>
    </row>
    <row r="532" spans="1:7" ht="12.75">
      <c r="A532" s="393">
        <v>7132444007</v>
      </c>
      <c r="B532" s="392" t="s">
        <v>1485</v>
      </c>
      <c r="C532" s="377" t="s">
        <v>1434</v>
      </c>
      <c r="D532" s="396">
        <v>893</v>
      </c>
      <c r="E532" s="378"/>
      <c r="G532" s="97"/>
    </row>
    <row r="533" spans="1:9" ht="25.5">
      <c r="A533" s="406">
        <v>7132448003</v>
      </c>
      <c r="B533" s="387" t="s">
        <v>203</v>
      </c>
      <c r="C533" s="385" t="s">
        <v>83</v>
      </c>
      <c r="D533" s="388">
        <v>3696</v>
      </c>
      <c r="E533" s="378" t="s">
        <v>1371</v>
      </c>
      <c r="I533" s="585"/>
    </row>
    <row r="534" spans="1:7" ht="54" customHeight="1">
      <c r="A534" s="393">
        <v>7132455002</v>
      </c>
      <c r="B534" s="392" t="s">
        <v>1445</v>
      </c>
      <c r="C534" s="377" t="s">
        <v>1756</v>
      </c>
      <c r="D534" s="396">
        <v>274</v>
      </c>
      <c r="E534" s="378"/>
      <c r="G534" s="97"/>
    </row>
    <row r="535" spans="1:5" ht="12.75">
      <c r="A535" s="389">
        <v>7132457798</v>
      </c>
      <c r="B535" s="387" t="s">
        <v>679</v>
      </c>
      <c r="C535" s="385" t="s">
        <v>1050</v>
      </c>
      <c r="D535" s="388">
        <v>51084</v>
      </c>
      <c r="E535" s="378" t="s">
        <v>1372</v>
      </c>
    </row>
    <row r="536" spans="1:5" ht="12.75">
      <c r="A536" s="389">
        <v>7132457798</v>
      </c>
      <c r="B536" s="387" t="s">
        <v>680</v>
      </c>
      <c r="C536" s="385" t="s">
        <v>1050</v>
      </c>
      <c r="D536" s="388">
        <v>43600</v>
      </c>
      <c r="E536" s="378" t="s">
        <v>1372</v>
      </c>
    </row>
    <row r="537" spans="1:7" ht="16.5" customHeight="1">
      <c r="A537" s="391">
        <v>7132459005</v>
      </c>
      <c r="B537" s="392" t="s">
        <v>966</v>
      </c>
      <c r="C537" s="385" t="s">
        <v>1611</v>
      </c>
      <c r="D537" s="388">
        <v>5</v>
      </c>
      <c r="E537" s="378" t="s">
        <v>1373</v>
      </c>
      <c r="G537" s="97"/>
    </row>
    <row r="538" spans="1:7" ht="12.75">
      <c r="A538" s="384">
        <v>7132461004</v>
      </c>
      <c r="B538" s="409" t="s">
        <v>1068</v>
      </c>
      <c r="C538" s="410" t="s">
        <v>1333</v>
      </c>
      <c r="D538" s="383">
        <v>1020</v>
      </c>
      <c r="E538" s="378" t="s">
        <v>1374</v>
      </c>
      <c r="G538" s="97"/>
    </row>
    <row r="539" spans="1:7" ht="12.75">
      <c r="A539" s="384">
        <v>7132461005</v>
      </c>
      <c r="B539" s="409" t="s">
        <v>1175</v>
      </c>
      <c r="C539" s="410" t="s">
        <v>1756</v>
      </c>
      <c r="D539" s="383">
        <v>371</v>
      </c>
      <c r="E539" s="378" t="s">
        <v>1375</v>
      </c>
      <c r="G539" s="97"/>
    </row>
    <row r="540" spans="1:5" ht="12.75">
      <c r="A540" s="386">
        <v>7132468558</v>
      </c>
      <c r="B540" s="380" t="s">
        <v>1119</v>
      </c>
      <c r="C540" s="381" t="s">
        <v>1611</v>
      </c>
      <c r="D540" s="383">
        <v>8231</v>
      </c>
      <c r="E540" s="378" t="s">
        <v>1376</v>
      </c>
    </row>
    <row r="541" spans="1:7" ht="12.75">
      <c r="A541" s="393">
        <v>7132475019</v>
      </c>
      <c r="B541" s="395" t="s">
        <v>1367</v>
      </c>
      <c r="C541" s="377" t="s">
        <v>1434</v>
      </c>
      <c r="D541" s="396">
        <v>310</v>
      </c>
      <c r="E541" s="787"/>
      <c r="G541" s="97"/>
    </row>
    <row r="542" spans="1:7" ht="25.5">
      <c r="A542" s="393">
        <v>7132475019</v>
      </c>
      <c r="B542" s="392" t="s">
        <v>2230</v>
      </c>
      <c r="C542" s="377" t="s">
        <v>1564</v>
      </c>
      <c r="D542" s="396">
        <v>131</v>
      </c>
      <c r="E542" s="787"/>
      <c r="G542" s="97"/>
    </row>
    <row r="543" spans="1:7" ht="25.5">
      <c r="A543" s="393">
        <v>7132476007</v>
      </c>
      <c r="B543" s="392" t="s">
        <v>2231</v>
      </c>
      <c r="C543" s="377" t="s">
        <v>1564</v>
      </c>
      <c r="D543" s="396">
        <v>15</v>
      </c>
      <c r="E543" s="378" t="s">
        <v>1377</v>
      </c>
      <c r="G543" s="97"/>
    </row>
    <row r="544" spans="1:7" ht="25.5">
      <c r="A544" s="393">
        <v>7132476008</v>
      </c>
      <c r="B544" s="392" t="s">
        <v>2233</v>
      </c>
      <c r="C544" s="377" t="s">
        <v>1564</v>
      </c>
      <c r="D544" s="396">
        <v>71</v>
      </c>
      <c r="E544" s="378"/>
      <c r="G544" s="97"/>
    </row>
    <row r="545" spans="1:7" ht="12.75">
      <c r="A545" s="406">
        <v>7132478004</v>
      </c>
      <c r="B545" s="392" t="s">
        <v>1420</v>
      </c>
      <c r="C545" s="377" t="s">
        <v>1756</v>
      </c>
      <c r="D545" s="388">
        <v>1351</v>
      </c>
      <c r="E545" s="378" t="s">
        <v>815</v>
      </c>
      <c r="G545" s="97"/>
    </row>
    <row r="546" spans="1:7" ht="12.75">
      <c r="A546" s="393">
        <v>7132478011</v>
      </c>
      <c r="B546" s="395" t="s">
        <v>1022</v>
      </c>
      <c r="C546" s="377" t="s">
        <v>1756</v>
      </c>
      <c r="D546" s="396">
        <v>534</v>
      </c>
      <c r="E546" s="378"/>
      <c r="G546" s="97"/>
    </row>
    <row r="547" spans="1:5" ht="12.75">
      <c r="A547" s="393">
        <v>7132478012</v>
      </c>
      <c r="B547" s="395" t="s">
        <v>1023</v>
      </c>
      <c r="C547" s="377" t="s">
        <v>1756</v>
      </c>
      <c r="D547" s="396">
        <v>350</v>
      </c>
      <c r="E547" s="378" t="s">
        <v>816</v>
      </c>
    </row>
    <row r="548" spans="1:7" ht="12.75">
      <c r="A548" s="393">
        <v>7132478012</v>
      </c>
      <c r="B548" s="392" t="s">
        <v>2234</v>
      </c>
      <c r="C548" s="377" t="s">
        <v>1576</v>
      </c>
      <c r="D548" s="396">
        <v>65</v>
      </c>
      <c r="E548" s="378" t="s">
        <v>816</v>
      </c>
      <c r="G548" s="97"/>
    </row>
    <row r="549" spans="1:7" ht="28.5" customHeight="1">
      <c r="A549" s="406">
        <v>7132490006</v>
      </c>
      <c r="B549" s="392" t="s">
        <v>1744</v>
      </c>
      <c r="C549" s="385" t="s">
        <v>83</v>
      </c>
      <c r="D549" s="388">
        <v>4619</v>
      </c>
      <c r="E549" s="378" t="s">
        <v>817</v>
      </c>
      <c r="G549" s="97"/>
    </row>
    <row r="550" spans="1:7" ht="12.75">
      <c r="A550" s="393">
        <v>7132490052</v>
      </c>
      <c r="B550" s="392" t="s">
        <v>2236</v>
      </c>
      <c r="C550" s="377" t="s">
        <v>1576</v>
      </c>
      <c r="D550" s="396">
        <v>59</v>
      </c>
      <c r="E550" s="378"/>
      <c r="G550" s="97"/>
    </row>
    <row r="551" spans="1:7" ht="12.75">
      <c r="A551" s="393">
        <v>7132490053</v>
      </c>
      <c r="B551" s="392" t="s">
        <v>2237</v>
      </c>
      <c r="C551" s="377" t="s">
        <v>1576</v>
      </c>
      <c r="D551" s="396">
        <v>90</v>
      </c>
      <c r="E551" s="378"/>
      <c r="G551" s="97"/>
    </row>
    <row r="552" spans="1:5" ht="12.75">
      <c r="A552" s="393">
        <v>7132498006</v>
      </c>
      <c r="B552" s="392" t="s">
        <v>1423</v>
      </c>
      <c r="C552" s="377" t="s">
        <v>1571</v>
      </c>
      <c r="D552" s="396">
        <v>670</v>
      </c>
      <c r="E552" s="378" t="s">
        <v>818</v>
      </c>
    </row>
    <row r="555" ht="25.5">
      <c r="B555" s="584" t="s">
        <v>279</v>
      </c>
    </row>
    <row r="556" spans="1:6" ht="26.25" customHeight="1">
      <c r="A556" s="406">
        <v>7132210015</v>
      </c>
      <c r="B556" s="392" t="s">
        <v>984</v>
      </c>
      <c r="C556" s="406" t="s">
        <v>1611</v>
      </c>
      <c r="D556" s="396">
        <v>616728</v>
      </c>
      <c r="E556" s="392" t="s">
        <v>984</v>
      </c>
      <c r="F556" s="97" t="s">
        <v>1019</v>
      </c>
    </row>
    <row r="557" spans="1:8" ht="25.5">
      <c r="A557" s="406">
        <v>7130310025</v>
      </c>
      <c r="B557" s="392" t="s">
        <v>280</v>
      </c>
      <c r="C557" s="385" t="s">
        <v>66</v>
      </c>
      <c r="D557" s="396">
        <v>12056</v>
      </c>
      <c r="E557" s="392" t="s">
        <v>280</v>
      </c>
      <c r="H557" s="106"/>
    </row>
    <row r="558" spans="1:8" ht="25.5">
      <c r="A558" s="406">
        <v>7130310026</v>
      </c>
      <c r="B558" s="392" t="s">
        <v>281</v>
      </c>
      <c r="C558" s="385" t="s">
        <v>66</v>
      </c>
      <c r="D558" s="396">
        <v>18517</v>
      </c>
      <c r="E558" s="392" t="s">
        <v>281</v>
      </c>
      <c r="H558" s="106"/>
    </row>
    <row r="559" spans="1:5" ht="25.5">
      <c r="A559" s="406">
        <v>7130310034</v>
      </c>
      <c r="B559" s="392" t="s">
        <v>282</v>
      </c>
      <c r="C559" s="385" t="s">
        <v>66</v>
      </c>
      <c r="D559" s="396">
        <v>133797</v>
      </c>
      <c r="E559" s="392" t="s">
        <v>282</v>
      </c>
    </row>
    <row r="560" spans="1:5" ht="25.5">
      <c r="A560" s="406">
        <v>7130310035</v>
      </c>
      <c r="B560" s="392" t="s">
        <v>283</v>
      </c>
      <c r="C560" s="385" t="s">
        <v>66</v>
      </c>
      <c r="D560" s="396">
        <v>170583</v>
      </c>
      <c r="E560" s="392" t="s">
        <v>283</v>
      </c>
    </row>
    <row r="561" spans="1:5" ht="12.75">
      <c r="A561" s="406">
        <v>7131310168</v>
      </c>
      <c r="B561" s="392" t="s">
        <v>778</v>
      </c>
      <c r="C561" s="385" t="s">
        <v>1611</v>
      </c>
      <c r="D561" s="396">
        <v>11363</v>
      </c>
      <c r="E561" s="406"/>
    </row>
    <row r="562" spans="1:5" ht="25.5">
      <c r="A562" s="406"/>
      <c r="B562" s="392" t="s">
        <v>779</v>
      </c>
      <c r="C562" s="385"/>
      <c r="D562" s="396"/>
      <c r="E562" s="406"/>
    </row>
    <row r="563" spans="1:6" ht="12.75">
      <c r="A563" s="406">
        <v>7132230410</v>
      </c>
      <c r="B563" s="392" t="s">
        <v>780</v>
      </c>
      <c r="C563" s="385" t="s">
        <v>1611</v>
      </c>
      <c r="D563" s="396">
        <v>33342</v>
      </c>
      <c r="E563" s="406"/>
      <c r="F563" s="97" t="s">
        <v>1019</v>
      </c>
    </row>
    <row r="564" spans="1:5" ht="12.75">
      <c r="A564" s="406">
        <v>7132230403</v>
      </c>
      <c r="B564" s="392" t="s">
        <v>781</v>
      </c>
      <c r="C564" s="385" t="s">
        <v>1611</v>
      </c>
      <c r="D564" s="396">
        <v>31629</v>
      </c>
      <c r="E564" s="406"/>
    </row>
    <row r="565" spans="1:7" ht="25.5">
      <c r="A565" s="406">
        <v>7131960919</v>
      </c>
      <c r="B565" s="392" t="s">
        <v>782</v>
      </c>
      <c r="C565" s="385" t="s">
        <v>1611</v>
      </c>
      <c r="D565" s="396">
        <v>39983</v>
      </c>
      <c r="E565" s="406"/>
      <c r="G565" s="97"/>
    </row>
    <row r="566" spans="1:6" ht="12.75">
      <c r="A566" s="406"/>
      <c r="B566" s="587" t="s">
        <v>1018</v>
      </c>
      <c r="C566" s="377" t="s">
        <v>1576</v>
      </c>
      <c r="D566" s="396">
        <v>72</v>
      </c>
      <c r="E566" s="406"/>
      <c r="F566" s="97" t="s">
        <v>1019</v>
      </c>
    </row>
    <row r="567" spans="1:5" ht="12.75">
      <c r="A567" s="381">
        <v>7132444005</v>
      </c>
      <c r="B567" s="392" t="s">
        <v>1717</v>
      </c>
      <c r="C567" s="411" t="s">
        <v>83</v>
      </c>
      <c r="D567" s="396">
        <v>8</v>
      </c>
      <c r="E567" s="406"/>
    </row>
    <row r="568" spans="1:5" ht="12.75">
      <c r="A568" s="385">
        <v>7130820011</v>
      </c>
      <c r="B568" s="392" t="s">
        <v>1718</v>
      </c>
      <c r="C568" s="411" t="s">
        <v>83</v>
      </c>
      <c r="D568" s="396">
        <v>270</v>
      </c>
      <c r="E568" s="406"/>
    </row>
    <row r="569" spans="1:5" ht="12.75">
      <c r="A569" s="586"/>
      <c r="B569" s="586"/>
      <c r="C569" s="586"/>
      <c r="D569" s="586"/>
      <c r="E569" s="586"/>
    </row>
    <row r="570" spans="1:5" ht="12.75">
      <c r="A570" s="586"/>
      <c r="B570" s="586"/>
      <c r="C570" s="586"/>
      <c r="D570" s="586"/>
      <c r="E570" s="586"/>
    </row>
    <row r="571" spans="1:5" ht="12.75">
      <c r="A571" s="586"/>
      <c r="B571" s="586"/>
      <c r="C571" s="586"/>
      <c r="D571" s="586"/>
      <c r="E571" s="586"/>
    </row>
    <row r="572" spans="1:5" ht="12.75">
      <c r="A572" s="586"/>
      <c r="B572" s="586"/>
      <c r="C572" s="586"/>
      <c r="D572" s="586"/>
      <c r="E572" s="586"/>
    </row>
    <row r="573" spans="1:5" ht="12.75">
      <c r="A573" s="586"/>
      <c r="B573" s="586"/>
      <c r="C573" s="586"/>
      <c r="D573" s="586"/>
      <c r="E573" s="586"/>
    </row>
    <row r="574" spans="1:5" ht="12.75">
      <c r="A574" s="586"/>
      <c r="B574" s="586"/>
      <c r="C574" s="586"/>
      <c r="D574" s="586"/>
      <c r="E574" s="586"/>
    </row>
    <row r="575" spans="1:5" ht="12.75">
      <c r="A575" s="586"/>
      <c r="B575" s="586"/>
      <c r="C575" s="586"/>
      <c r="D575" s="586"/>
      <c r="E575" s="586"/>
    </row>
    <row r="576" spans="1:5" ht="12.75">
      <c r="A576" s="586"/>
      <c r="B576" s="586"/>
      <c r="C576" s="586"/>
      <c r="D576" s="586"/>
      <c r="E576" s="586"/>
    </row>
    <row r="577" spans="1:5" ht="12.75">
      <c r="A577" s="586"/>
      <c r="B577" s="586"/>
      <c r="C577" s="586"/>
      <c r="D577" s="586"/>
      <c r="E577" s="586"/>
    </row>
    <row r="578" spans="1:5" ht="12.75">
      <c r="A578" s="586"/>
      <c r="B578" s="586"/>
      <c r="C578" s="586"/>
      <c r="D578" s="586"/>
      <c r="E578" s="586"/>
    </row>
    <row r="579" spans="1:5" ht="12.75">
      <c r="A579" s="586"/>
      <c r="B579" s="586"/>
      <c r="C579" s="586"/>
      <c r="D579" s="586"/>
      <c r="E579" s="586"/>
    </row>
    <row r="580" spans="1:5" ht="12.75">
      <c r="A580" s="586"/>
      <c r="B580" s="586"/>
      <c r="C580" s="586"/>
      <c r="D580" s="586"/>
      <c r="E580" s="586"/>
    </row>
    <row r="581" spans="1:5" ht="12.75">
      <c r="A581" s="586"/>
      <c r="B581" s="586"/>
      <c r="C581" s="586"/>
      <c r="D581" s="586"/>
      <c r="E581" s="586"/>
    </row>
    <row r="582" spans="1:5" ht="12.75">
      <c r="A582" s="586"/>
      <c r="B582" s="586"/>
      <c r="C582" s="586"/>
      <c r="D582" s="586"/>
      <c r="E582" s="586"/>
    </row>
    <row r="583" spans="1:5" ht="12.75">
      <c r="A583" s="586"/>
      <c r="B583" s="586"/>
      <c r="C583" s="586"/>
      <c r="D583" s="586"/>
      <c r="E583" s="586"/>
    </row>
    <row r="584" spans="1:5" ht="12.75">
      <c r="A584" s="586"/>
      <c r="B584" s="586"/>
      <c r="C584" s="586"/>
      <c r="D584" s="586"/>
      <c r="E584" s="586"/>
    </row>
    <row r="585" spans="1:5" ht="12.75">
      <c r="A585" s="586"/>
      <c r="B585" s="586"/>
      <c r="C585" s="586"/>
      <c r="D585" s="586"/>
      <c r="E585" s="586"/>
    </row>
    <row r="586" spans="1:5" ht="12.75">
      <c r="A586" s="586"/>
      <c r="B586" s="586"/>
      <c r="C586" s="586"/>
      <c r="D586" s="586"/>
      <c r="E586" s="586"/>
    </row>
    <row r="587" spans="1:5" ht="12.75">
      <c r="A587" s="586"/>
      <c r="B587" s="586"/>
      <c r="C587" s="586"/>
      <c r="D587" s="586"/>
      <c r="E587" s="586"/>
    </row>
    <row r="588" spans="1:5" ht="12.75">
      <c r="A588" s="586"/>
      <c r="B588" s="586"/>
      <c r="C588" s="586"/>
      <c r="D588" s="586"/>
      <c r="E588" s="586"/>
    </row>
    <row r="589" spans="1:5" ht="12.75">
      <c r="A589" s="586"/>
      <c r="B589" s="586"/>
      <c r="C589" s="586"/>
      <c r="D589" s="586"/>
      <c r="E589" s="586"/>
    </row>
    <row r="590" spans="1:5" ht="12.75">
      <c r="A590" s="586"/>
      <c r="B590" s="586"/>
      <c r="C590" s="586"/>
      <c r="D590" s="586"/>
      <c r="E590" s="586"/>
    </row>
    <row r="591" spans="1:5" ht="12.75">
      <c r="A591" s="586"/>
      <c r="B591" s="586"/>
      <c r="C591" s="586"/>
      <c r="D591" s="586"/>
      <c r="E591" s="586"/>
    </row>
    <row r="592" spans="1:5" ht="12.75">
      <c r="A592" s="586"/>
      <c r="B592" s="586"/>
      <c r="C592" s="586"/>
      <c r="D592" s="586"/>
      <c r="E592" s="586"/>
    </row>
    <row r="593" spans="1:5" ht="12.75">
      <c r="A593" s="586"/>
      <c r="B593" s="586"/>
      <c r="C593" s="586"/>
      <c r="D593" s="586"/>
      <c r="E593" s="586"/>
    </row>
    <row r="594" spans="1:5" ht="12.75">
      <c r="A594" s="586"/>
      <c r="B594" s="586"/>
      <c r="C594" s="586"/>
      <c r="D594" s="586"/>
      <c r="E594" s="586"/>
    </row>
    <row r="595" spans="1:5" ht="12.75">
      <c r="A595" s="586"/>
      <c r="B595" s="586"/>
      <c r="C595" s="586"/>
      <c r="D595" s="586"/>
      <c r="E595" s="586"/>
    </row>
    <row r="596" spans="1:5" ht="12.75">
      <c r="A596" s="586"/>
      <c r="B596" s="586"/>
      <c r="C596" s="586"/>
      <c r="D596" s="586"/>
      <c r="E596" s="586"/>
    </row>
    <row r="597" spans="1:5" ht="12.75">
      <c r="A597" s="586"/>
      <c r="B597" s="586"/>
      <c r="C597" s="586"/>
      <c r="D597" s="586"/>
      <c r="E597" s="586"/>
    </row>
    <row r="598" spans="1:5" ht="12.75">
      <c r="A598" s="586"/>
      <c r="B598" s="586"/>
      <c r="C598" s="586"/>
      <c r="D598" s="586"/>
      <c r="E598" s="586"/>
    </row>
    <row r="599" spans="1:5" ht="12.75">
      <c r="A599" s="586"/>
      <c r="B599" s="586"/>
      <c r="C599" s="586"/>
      <c r="D599" s="586"/>
      <c r="E599" s="586"/>
    </row>
    <row r="600" spans="1:5" ht="12.75">
      <c r="A600" s="586"/>
      <c r="B600" s="586"/>
      <c r="C600" s="586"/>
      <c r="D600" s="586"/>
      <c r="E600" s="586"/>
    </row>
    <row r="601" spans="1:5" ht="12.75">
      <c r="A601" s="586"/>
      <c r="B601" s="586"/>
      <c r="C601" s="586"/>
      <c r="D601" s="586"/>
      <c r="E601" s="586"/>
    </row>
    <row r="602" spans="1:5" ht="12.75">
      <c r="A602" s="586"/>
      <c r="B602" s="586"/>
      <c r="C602" s="586"/>
      <c r="D602" s="586"/>
      <c r="E602" s="586"/>
    </row>
    <row r="603" spans="1:5" ht="12.75">
      <c r="A603" s="586"/>
      <c r="B603" s="586"/>
      <c r="C603" s="586"/>
      <c r="D603" s="586"/>
      <c r="E603" s="586"/>
    </row>
    <row r="604" spans="1:5" ht="12.75">
      <c r="A604" s="586"/>
      <c r="B604" s="586"/>
      <c r="C604" s="586"/>
      <c r="D604" s="586"/>
      <c r="E604" s="586"/>
    </row>
    <row r="605" spans="1:5" ht="12.75">
      <c r="A605" s="586"/>
      <c r="B605" s="586"/>
      <c r="C605" s="586"/>
      <c r="D605" s="586"/>
      <c r="E605" s="586"/>
    </row>
    <row r="606" spans="1:5" ht="12.75">
      <c r="A606" s="586"/>
      <c r="B606" s="586"/>
      <c r="C606" s="586"/>
      <c r="D606" s="586"/>
      <c r="E606" s="586"/>
    </row>
    <row r="607" spans="1:5" ht="12.75">
      <c r="A607" s="586"/>
      <c r="B607" s="586"/>
      <c r="C607" s="586"/>
      <c r="D607" s="586"/>
      <c r="E607" s="586"/>
    </row>
    <row r="608" spans="1:5" ht="12.75">
      <c r="A608" s="586"/>
      <c r="B608" s="586"/>
      <c r="C608" s="586"/>
      <c r="D608" s="586"/>
      <c r="E608" s="586"/>
    </row>
    <row r="609" spans="1:5" ht="12.75">
      <c r="A609" s="586"/>
      <c r="B609" s="586"/>
      <c r="C609" s="586"/>
      <c r="D609" s="586"/>
      <c r="E609" s="586"/>
    </row>
    <row r="610" spans="1:5" ht="12.75">
      <c r="A610" s="586"/>
      <c r="B610" s="586"/>
      <c r="C610" s="586"/>
      <c r="D610" s="586"/>
      <c r="E610" s="586"/>
    </row>
    <row r="611" spans="1:5" ht="12.75">
      <c r="A611" s="586"/>
      <c r="B611" s="586"/>
      <c r="C611" s="586"/>
      <c r="D611" s="586"/>
      <c r="E611" s="586"/>
    </row>
    <row r="612" spans="1:5" ht="12.75">
      <c r="A612" s="586"/>
      <c r="B612" s="586"/>
      <c r="C612" s="586"/>
      <c r="D612" s="586"/>
      <c r="E612" s="586"/>
    </row>
    <row r="613" spans="1:5" ht="12.75">
      <c r="A613" s="586"/>
      <c r="B613" s="586"/>
      <c r="C613" s="586"/>
      <c r="D613" s="586"/>
      <c r="E613" s="586"/>
    </row>
    <row r="614" spans="1:5" ht="12.75">
      <c r="A614" s="586"/>
      <c r="B614" s="586"/>
      <c r="C614" s="586"/>
      <c r="D614" s="586"/>
      <c r="E614" s="586"/>
    </row>
    <row r="615" spans="1:5" ht="12.75">
      <c r="A615" s="586"/>
      <c r="B615" s="586"/>
      <c r="C615" s="586"/>
      <c r="D615" s="586"/>
      <c r="E615" s="586"/>
    </row>
    <row r="616" spans="1:5" ht="12.75">
      <c r="A616" s="586"/>
      <c r="B616" s="586"/>
      <c r="C616" s="586"/>
      <c r="D616" s="586"/>
      <c r="E616" s="586"/>
    </row>
    <row r="617" spans="1:5" ht="12.75">
      <c r="A617" s="586"/>
      <c r="B617" s="586"/>
      <c r="C617" s="586"/>
      <c r="D617" s="586"/>
      <c r="E617" s="586"/>
    </row>
    <row r="618" spans="1:5" ht="12.75">
      <c r="A618" s="586"/>
      <c r="B618" s="586"/>
      <c r="C618" s="586"/>
      <c r="D618" s="586"/>
      <c r="E618" s="586"/>
    </row>
    <row r="619" spans="1:5" ht="12.75">
      <c r="A619" s="586"/>
      <c r="B619" s="586"/>
      <c r="C619" s="586"/>
      <c r="D619" s="586"/>
      <c r="E619" s="586"/>
    </row>
    <row r="620" spans="1:5" ht="12.75">
      <c r="A620" s="586"/>
      <c r="B620" s="586"/>
      <c r="C620" s="586"/>
      <c r="D620" s="586"/>
      <c r="E620" s="586"/>
    </row>
    <row r="621" spans="1:5" ht="12.75">
      <c r="A621" s="586"/>
      <c r="B621" s="586"/>
      <c r="C621" s="586"/>
      <c r="D621" s="586"/>
      <c r="E621" s="586"/>
    </row>
    <row r="622" spans="1:5" ht="12.75">
      <c r="A622" s="586"/>
      <c r="B622" s="586"/>
      <c r="C622" s="586"/>
      <c r="D622" s="586"/>
      <c r="E622" s="586"/>
    </row>
    <row r="623" spans="1:5" ht="12.75">
      <c r="A623" s="586"/>
      <c r="B623" s="586"/>
      <c r="C623" s="586"/>
      <c r="D623" s="586"/>
      <c r="E623" s="586"/>
    </row>
    <row r="624" spans="1:5" ht="12.75">
      <c r="A624" s="586"/>
      <c r="B624" s="586"/>
      <c r="C624" s="586"/>
      <c r="D624" s="586"/>
      <c r="E624" s="586"/>
    </row>
    <row r="625" spans="1:5" ht="12.75">
      <c r="A625" s="586"/>
      <c r="B625" s="586"/>
      <c r="C625" s="586"/>
      <c r="D625" s="586"/>
      <c r="E625" s="586"/>
    </row>
    <row r="626" spans="1:5" ht="12.75">
      <c r="A626" s="586"/>
      <c r="B626" s="586"/>
      <c r="C626" s="586"/>
      <c r="D626" s="586"/>
      <c r="E626" s="586"/>
    </row>
    <row r="627" spans="1:5" ht="12.75">
      <c r="A627" s="586"/>
      <c r="B627" s="586"/>
      <c r="C627" s="586"/>
      <c r="D627" s="586"/>
      <c r="E627" s="586"/>
    </row>
    <row r="628" spans="1:5" ht="12.75">
      <c r="A628" s="586"/>
      <c r="B628" s="586"/>
      <c r="C628" s="586"/>
      <c r="D628" s="586"/>
      <c r="E628" s="586"/>
    </row>
    <row r="629" spans="1:5" ht="12.75">
      <c r="A629" s="586"/>
      <c r="B629" s="586"/>
      <c r="C629" s="586"/>
      <c r="D629" s="586"/>
      <c r="E629" s="586"/>
    </row>
    <row r="630" spans="1:5" ht="12.75">
      <c r="A630" s="586"/>
      <c r="B630" s="586"/>
      <c r="C630" s="586"/>
      <c r="D630" s="586"/>
      <c r="E630" s="586"/>
    </row>
    <row r="631" spans="1:5" ht="12.75">
      <c r="A631" s="586"/>
      <c r="B631" s="586"/>
      <c r="C631" s="586"/>
      <c r="D631" s="586"/>
      <c r="E631" s="586"/>
    </row>
    <row r="632" spans="1:5" ht="12.75">
      <c r="A632" s="586"/>
      <c r="B632" s="586"/>
      <c r="C632" s="586"/>
      <c r="D632" s="586"/>
      <c r="E632" s="586"/>
    </row>
    <row r="633" spans="1:5" ht="12.75">
      <c r="A633" s="586"/>
      <c r="B633" s="586"/>
      <c r="C633" s="586"/>
      <c r="D633" s="586"/>
      <c r="E633" s="586"/>
    </row>
    <row r="634" spans="1:5" ht="12.75">
      <c r="A634" s="586"/>
      <c r="B634" s="586"/>
      <c r="C634" s="586"/>
      <c r="D634" s="586"/>
      <c r="E634" s="586"/>
    </row>
    <row r="635" spans="1:5" ht="12.75">
      <c r="A635" s="586"/>
      <c r="B635" s="586"/>
      <c r="C635" s="586"/>
      <c r="D635" s="586"/>
      <c r="E635" s="586"/>
    </row>
    <row r="636" spans="1:5" ht="12.75">
      <c r="A636" s="586"/>
      <c r="B636" s="586"/>
      <c r="C636" s="586"/>
      <c r="D636" s="586"/>
      <c r="E636" s="586"/>
    </row>
    <row r="637" spans="1:5" ht="12.75">
      <c r="A637" s="586"/>
      <c r="B637" s="586"/>
      <c r="C637" s="586"/>
      <c r="D637" s="586"/>
      <c r="E637" s="586"/>
    </row>
    <row r="638" spans="1:5" ht="12.75">
      <c r="A638" s="586"/>
      <c r="B638" s="586"/>
      <c r="C638" s="586"/>
      <c r="D638" s="586"/>
      <c r="E638" s="586"/>
    </row>
    <row r="639" spans="1:5" ht="12.75">
      <c r="A639" s="586"/>
      <c r="B639" s="586"/>
      <c r="C639" s="586"/>
      <c r="D639" s="586"/>
      <c r="E639" s="586"/>
    </row>
    <row r="640" spans="1:5" ht="12.75">
      <c r="A640" s="586"/>
      <c r="B640" s="586"/>
      <c r="C640" s="586"/>
      <c r="D640" s="586"/>
      <c r="E640" s="586"/>
    </row>
    <row r="641" spans="1:5" ht="12.75">
      <c r="A641" s="586"/>
      <c r="B641" s="586"/>
      <c r="C641" s="586"/>
      <c r="D641" s="586"/>
      <c r="E641" s="586"/>
    </row>
    <row r="642" spans="1:5" ht="12.75">
      <c r="A642" s="586"/>
      <c r="B642" s="586"/>
      <c r="C642" s="586"/>
      <c r="D642" s="586"/>
      <c r="E642" s="586"/>
    </row>
    <row r="643" spans="1:5" ht="12.75">
      <c r="A643" s="586"/>
      <c r="B643" s="586"/>
      <c r="C643" s="586"/>
      <c r="D643" s="586"/>
      <c r="E643" s="586"/>
    </row>
    <row r="644" spans="1:5" ht="12.75">
      <c r="A644" s="586"/>
      <c r="B644" s="586"/>
      <c r="C644" s="586"/>
      <c r="D644" s="586"/>
      <c r="E644" s="586"/>
    </row>
    <row r="645" spans="1:5" ht="12.75">
      <c r="A645" s="586"/>
      <c r="B645" s="586"/>
      <c r="C645" s="586"/>
      <c r="D645" s="586"/>
      <c r="E645" s="586"/>
    </row>
    <row r="646" spans="1:5" ht="12.75">
      <c r="A646" s="586"/>
      <c r="B646" s="586"/>
      <c r="C646" s="586"/>
      <c r="D646" s="586"/>
      <c r="E646" s="586"/>
    </row>
    <row r="647" spans="1:5" ht="12.75">
      <c r="A647" s="586"/>
      <c r="B647" s="586"/>
      <c r="C647" s="586"/>
      <c r="D647" s="586"/>
      <c r="E647" s="586"/>
    </row>
    <row r="648" spans="1:5" ht="12.75">
      <c r="A648" s="586"/>
      <c r="B648" s="586"/>
      <c r="C648" s="586"/>
      <c r="D648" s="586"/>
      <c r="E648" s="586"/>
    </row>
    <row r="649" spans="1:5" ht="12.75">
      <c r="A649" s="586"/>
      <c r="B649" s="586"/>
      <c r="C649" s="586"/>
      <c r="D649" s="586"/>
      <c r="E649" s="586"/>
    </row>
    <row r="650" spans="1:5" ht="12.75">
      <c r="A650" s="586"/>
      <c r="B650" s="586"/>
      <c r="C650" s="586"/>
      <c r="D650" s="586"/>
      <c r="E650" s="586"/>
    </row>
    <row r="651" spans="1:5" ht="12.75">
      <c r="A651" s="586"/>
      <c r="B651" s="586"/>
      <c r="C651" s="586"/>
      <c r="D651" s="586"/>
      <c r="E651" s="586"/>
    </row>
    <row r="652" spans="1:5" ht="12.75">
      <c r="A652" s="586"/>
      <c r="B652" s="586"/>
      <c r="C652" s="586"/>
      <c r="D652" s="586"/>
      <c r="E652" s="586"/>
    </row>
    <row r="653" spans="1:5" ht="12.75">
      <c r="A653" s="586"/>
      <c r="B653" s="586"/>
      <c r="C653" s="586"/>
      <c r="D653" s="586"/>
      <c r="E653" s="586"/>
    </row>
    <row r="654" spans="1:5" ht="12.75">
      <c r="A654" s="586"/>
      <c r="B654" s="586"/>
      <c r="C654" s="586"/>
      <c r="D654" s="586"/>
      <c r="E654" s="586"/>
    </row>
    <row r="655" spans="1:5" ht="12.75">
      <c r="A655" s="586"/>
      <c r="B655" s="586"/>
      <c r="C655" s="586"/>
      <c r="D655" s="586"/>
      <c r="E655" s="586"/>
    </row>
    <row r="656" spans="1:5" ht="12.75">
      <c r="A656" s="586"/>
      <c r="B656" s="586"/>
      <c r="C656" s="586"/>
      <c r="D656" s="586"/>
      <c r="E656" s="586"/>
    </row>
    <row r="657" spans="1:5" ht="12.75">
      <c r="A657" s="586"/>
      <c r="B657" s="586"/>
      <c r="C657" s="586"/>
      <c r="D657" s="586"/>
      <c r="E657" s="586"/>
    </row>
    <row r="658" spans="1:5" ht="12.75">
      <c r="A658" s="586"/>
      <c r="B658" s="586"/>
      <c r="C658" s="586"/>
      <c r="D658" s="586"/>
      <c r="E658" s="586"/>
    </row>
    <row r="659" spans="1:5" ht="12.75">
      <c r="A659" s="145"/>
      <c r="B659" s="145"/>
      <c r="C659" s="145"/>
      <c r="D659" s="145"/>
      <c r="E659" s="145"/>
    </row>
    <row r="660" spans="1:5" ht="12.75">
      <c r="A660" s="145"/>
      <c r="B660" s="145"/>
      <c r="C660" s="145"/>
      <c r="D660" s="145"/>
      <c r="E660" s="145"/>
    </row>
    <row r="661" spans="1:5" ht="12.75">
      <c r="A661" s="145"/>
      <c r="B661" s="145"/>
      <c r="C661" s="145"/>
      <c r="D661" s="145"/>
      <c r="E661" s="145"/>
    </row>
    <row r="662" spans="1:5" ht="12.75">
      <c r="A662" s="145"/>
      <c r="B662" s="145"/>
      <c r="C662" s="145"/>
      <c r="D662" s="145"/>
      <c r="E662" s="145"/>
    </row>
    <row r="663" spans="1:5" ht="12.75">
      <c r="A663" s="145"/>
      <c r="B663" s="145"/>
      <c r="C663" s="145"/>
      <c r="D663" s="145"/>
      <c r="E663" s="145"/>
    </row>
    <row r="664" spans="1:5" ht="12.75">
      <c r="A664" s="145"/>
      <c r="B664" s="145"/>
      <c r="C664" s="145"/>
      <c r="D664" s="145"/>
      <c r="E664" s="145"/>
    </row>
    <row r="665" spans="1:5" ht="12.75">
      <c r="A665" s="145"/>
      <c r="B665" s="145"/>
      <c r="C665" s="145"/>
      <c r="D665" s="145"/>
      <c r="E665" s="145"/>
    </row>
    <row r="666" spans="1:5" ht="12.75">
      <c r="A666" s="145"/>
      <c r="B666" s="145"/>
      <c r="C666" s="145"/>
      <c r="D666" s="145"/>
      <c r="E666" s="145"/>
    </row>
    <row r="667" spans="1:5" ht="12.75">
      <c r="A667" s="145"/>
      <c r="B667" s="145"/>
      <c r="C667" s="145"/>
      <c r="D667" s="145"/>
      <c r="E667" s="145"/>
    </row>
    <row r="668" spans="1:5" ht="12.75">
      <c r="A668" s="145"/>
      <c r="B668" s="145"/>
      <c r="C668" s="145"/>
      <c r="D668" s="145"/>
      <c r="E668" s="145"/>
    </row>
    <row r="669" spans="1:5" ht="12.75">
      <c r="A669" s="145"/>
      <c r="B669" s="145"/>
      <c r="C669" s="145"/>
      <c r="D669" s="145"/>
      <c r="E669" s="145"/>
    </row>
    <row r="670" spans="1:5" ht="12.75">
      <c r="A670" s="145"/>
      <c r="B670" s="145"/>
      <c r="C670" s="145"/>
      <c r="D670" s="145"/>
      <c r="E670" s="145"/>
    </row>
    <row r="671" spans="1:5" ht="12.75">
      <c r="A671" s="145"/>
      <c r="B671" s="145"/>
      <c r="C671" s="145"/>
      <c r="D671" s="145"/>
      <c r="E671" s="145"/>
    </row>
    <row r="672" spans="1:5" ht="12.75">
      <c r="A672" s="145"/>
      <c r="B672" s="145"/>
      <c r="C672" s="145"/>
      <c r="D672" s="145"/>
      <c r="E672" s="145"/>
    </row>
    <row r="673" spans="1:5" ht="12.75">
      <c r="A673" s="145"/>
      <c r="B673" s="145"/>
      <c r="C673" s="145"/>
      <c r="D673" s="145"/>
      <c r="E673" s="145"/>
    </row>
    <row r="674" spans="1:5" ht="12.75">
      <c r="A674" s="145"/>
      <c r="B674" s="145"/>
      <c r="C674" s="145"/>
      <c r="D674" s="145"/>
      <c r="E674" s="145"/>
    </row>
    <row r="675" spans="1:5" ht="12.75">
      <c r="A675" s="145"/>
      <c r="B675" s="145"/>
      <c r="C675" s="145"/>
      <c r="D675" s="145"/>
      <c r="E675" s="145"/>
    </row>
    <row r="676" spans="1:5" ht="12.75">
      <c r="A676" s="145"/>
      <c r="B676" s="145"/>
      <c r="C676" s="145"/>
      <c r="D676" s="145"/>
      <c r="E676" s="145"/>
    </row>
    <row r="677" spans="1:5" ht="12.75">
      <c r="A677" s="145"/>
      <c r="B677" s="145"/>
      <c r="C677" s="145"/>
      <c r="D677" s="145"/>
      <c r="E677" s="145"/>
    </row>
    <row r="678" spans="1:5" ht="12.75">
      <c r="A678" s="145"/>
      <c r="B678" s="145"/>
      <c r="C678" s="145"/>
      <c r="D678" s="145"/>
      <c r="E678" s="145"/>
    </row>
  </sheetData>
  <sheetProtection/>
  <mergeCells count="1">
    <mergeCell ref="F295:G295"/>
  </mergeCells>
  <conditionalFormatting sqref="A568">
    <cfRule type="expression" priority="1" dxfId="0" stopIfTrue="1">
      <formula>AND(COUNTIF($B:$B,A568)&gt;1,NOT(ISBLANK(A568)))</formula>
    </cfRule>
  </conditionalFormatting>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indexed="15"/>
  </sheetPr>
  <dimension ref="A1:M64"/>
  <sheetViews>
    <sheetView zoomScaleSheetLayoutView="85" zoomScalePageLayoutView="0" workbookViewId="0" topLeftCell="A1">
      <pane xSplit="5" ySplit="10" topLeftCell="F59" activePane="bottomRight" state="frozen"/>
      <selection pane="topLeft" activeCell="A1" sqref="A1"/>
      <selection pane="topRight" activeCell="F1" sqref="F1"/>
      <selection pane="bottomLeft" activeCell="A11" sqref="A11"/>
      <selection pane="bottomRight" activeCell="I85" sqref="I85"/>
    </sheetView>
  </sheetViews>
  <sheetFormatPr defaultColWidth="9.140625" defaultRowHeight="12.75"/>
  <cols>
    <col min="1" max="1" width="5.140625" style="79" customWidth="1"/>
    <col min="2" max="2" width="3.57421875" style="2" customWidth="1"/>
    <col min="3" max="3" width="55.57421875" style="2" customWidth="1"/>
    <col min="4" max="4" width="12.28125" style="2" customWidth="1"/>
    <col min="5" max="5" width="5.57421875" style="79" customWidth="1"/>
    <col min="6" max="6" width="10.7109375" style="2" customWidth="1"/>
    <col min="7" max="7" width="6.28125" style="2" customWidth="1"/>
    <col min="8" max="8" width="12.8515625" style="2" customWidth="1"/>
    <col min="9" max="9" width="15.7109375" style="2" customWidth="1"/>
    <col min="10" max="10" width="23.28125" style="2" customWidth="1"/>
    <col min="11" max="11" width="12.140625" style="2" customWidth="1"/>
    <col min="12" max="12" width="5.140625" style="2" customWidth="1"/>
    <col min="13" max="13" width="14.00390625" style="2" customWidth="1"/>
    <col min="14" max="16384" width="9.140625" style="2" customWidth="1"/>
  </cols>
  <sheetData>
    <row r="1" spans="1:8" ht="18">
      <c r="A1" s="177"/>
      <c r="B1" s="80"/>
      <c r="C1" s="1572" t="s">
        <v>1131</v>
      </c>
      <c r="D1" s="1572"/>
      <c r="E1" s="1572"/>
      <c r="F1" s="1572"/>
      <c r="G1" s="80"/>
      <c r="H1" s="80"/>
    </row>
    <row r="2" spans="1:8" ht="12.75">
      <c r="A2" s="177"/>
      <c r="B2" s="287"/>
      <c r="C2" s="1574" t="s">
        <v>1132</v>
      </c>
      <c r="D2" s="1574"/>
      <c r="E2" s="1574"/>
      <c r="F2" s="287"/>
      <c r="G2" s="287"/>
      <c r="H2" s="287"/>
    </row>
    <row r="3" spans="1:7" ht="12.75">
      <c r="A3" s="298"/>
      <c r="B3" s="298"/>
      <c r="C3" s="298"/>
      <c r="D3" s="298"/>
      <c r="E3" s="298"/>
      <c r="F3" s="298"/>
      <c r="G3" s="298"/>
    </row>
    <row r="4" spans="2:8" ht="15">
      <c r="B4" s="265"/>
      <c r="C4" s="1554" t="s">
        <v>1357</v>
      </c>
      <c r="D4" s="1554"/>
      <c r="E4" s="1554"/>
      <c r="F4" s="1554"/>
      <c r="G4" s="1554"/>
      <c r="H4" s="1554"/>
    </row>
    <row r="6" spans="1:8" ht="15">
      <c r="A6" s="37"/>
      <c r="B6" s="37"/>
      <c r="C6" s="37"/>
      <c r="D6" s="37"/>
      <c r="E6" s="37"/>
      <c r="F6" s="37"/>
      <c r="G6" s="37"/>
      <c r="H6" s="430" t="s">
        <v>244</v>
      </c>
    </row>
    <row r="7" spans="1:8" ht="15">
      <c r="A7" s="37"/>
      <c r="B7" s="37"/>
      <c r="C7" s="37"/>
      <c r="D7" s="37"/>
      <c r="E7" s="37"/>
      <c r="F7" s="37"/>
      <c r="G7" s="37"/>
      <c r="H7" s="37"/>
    </row>
    <row r="8" spans="1:8" ht="15" customHeight="1">
      <c r="A8" s="1455" t="s">
        <v>2104</v>
      </c>
      <c r="B8" s="1566" t="s">
        <v>79</v>
      </c>
      <c r="C8" s="1567"/>
      <c r="D8" s="1497" t="s">
        <v>88</v>
      </c>
      <c r="E8" s="1495" t="s">
        <v>80</v>
      </c>
      <c r="F8" s="1495" t="s">
        <v>1070</v>
      </c>
      <c r="G8" s="1571" t="s">
        <v>1358</v>
      </c>
      <c r="H8" s="1571"/>
    </row>
    <row r="9" spans="1:8" ht="16.5" customHeight="1">
      <c r="A9" s="1456"/>
      <c r="B9" s="1568"/>
      <c r="C9" s="1569"/>
      <c r="D9" s="1573"/>
      <c r="E9" s="1496"/>
      <c r="F9" s="1570"/>
      <c r="G9" s="83" t="s">
        <v>82</v>
      </c>
      <c r="H9" s="83" t="s">
        <v>1327</v>
      </c>
    </row>
    <row r="10" spans="1:8" ht="12.75">
      <c r="A10" s="245">
        <v>1</v>
      </c>
      <c r="B10" s="1564">
        <v>2</v>
      </c>
      <c r="C10" s="1565"/>
      <c r="D10" s="245">
        <v>3</v>
      </c>
      <c r="E10" s="245">
        <v>4</v>
      </c>
      <c r="F10" s="245">
        <v>5</v>
      </c>
      <c r="G10" s="245">
        <v>6</v>
      </c>
      <c r="H10" s="299">
        <v>7</v>
      </c>
    </row>
    <row r="11" spans="1:8" ht="30" customHeight="1">
      <c r="A11" s="926">
        <v>1</v>
      </c>
      <c r="B11" s="1196"/>
      <c r="C11" s="1197" t="s">
        <v>1524</v>
      </c>
      <c r="D11" s="300">
        <v>7130601958</v>
      </c>
      <c r="E11" s="1198" t="s">
        <v>1576</v>
      </c>
      <c r="F11" s="1199">
        <f>VLOOKUP(D11,'SOR RATE'!A:D,4,0)/1000</f>
        <v>32.575</v>
      </c>
      <c r="G11" s="1200">
        <v>593.6</v>
      </c>
      <c r="H11" s="1199">
        <f>G11*F11</f>
        <v>19336.520000000004</v>
      </c>
    </row>
    <row r="12" spans="1:10" ht="33" customHeight="1">
      <c r="A12" s="926">
        <v>2</v>
      </c>
      <c r="B12" s="1196"/>
      <c r="C12" s="1201" t="s">
        <v>1525</v>
      </c>
      <c r="D12" s="300">
        <v>7130601965</v>
      </c>
      <c r="E12" s="1198" t="s">
        <v>1576</v>
      </c>
      <c r="F12" s="1199">
        <f>VLOOKUP(D12,'SOR RATE'!A:D,4,0)/1000</f>
        <v>32.575</v>
      </c>
      <c r="G12" s="1198">
        <v>816.2</v>
      </c>
      <c r="H12" s="1199">
        <f>G12*F12</f>
        <v>26587.715000000004</v>
      </c>
      <c r="J12" s="580"/>
    </row>
    <row r="13" spans="1:8" ht="18" customHeight="1">
      <c r="A13" s="926">
        <v>3</v>
      </c>
      <c r="B13" s="1202"/>
      <c r="C13" s="1203" t="s">
        <v>15</v>
      </c>
      <c r="D13" s="1204">
        <v>7130810684</v>
      </c>
      <c r="E13" s="1205" t="s">
        <v>1330</v>
      </c>
      <c r="F13" s="1206">
        <f>VLOOKUP(D13,'SOR RATE'!A:D,4,0)</f>
        <v>6989.71</v>
      </c>
      <c r="G13" s="1205">
        <v>6</v>
      </c>
      <c r="H13" s="1206">
        <f>G13*F13</f>
        <v>41938.26</v>
      </c>
    </row>
    <row r="14" spans="1:8" ht="18" customHeight="1">
      <c r="A14" s="926">
        <v>4</v>
      </c>
      <c r="B14" s="1202"/>
      <c r="C14" s="1203" t="s">
        <v>16</v>
      </c>
      <c r="D14" s="1204">
        <v>7130810517</v>
      </c>
      <c r="E14" s="1205" t="s">
        <v>1330</v>
      </c>
      <c r="F14" s="1206">
        <f>VLOOKUP(D14,'SOR RATE'!A:D,4,0)</f>
        <v>3758.1</v>
      </c>
      <c r="G14" s="1205">
        <v>2</v>
      </c>
      <c r="H14" s="1206">
        <f>G14*F14</f>
        <v>7516.2</v>
      </c>
    </row>
    <row r="15" spans="1:8" ht="29.25" customHeight="1">
      <c r="A15" s="1556">
        <v>5</v>
      </c>
      <c r="B15" s="194"/>
      <c r="C15" s="1207" t="s">
        <v>155</v>
      </c>
      <c r="D15" s="1208"/>
      <c r="E15" s="926" t="s">
        <v>1330</v>
      </c>
      <c r="F15" s="1199"/>
      <c r="G15" s="926">
        <v>21</v>
      </c>
      <c r="H15" s="1199"/>
    </row>
    <row r="16" spans="1:8" ht="15" customHeight="1">
      <c r="A16" s="1557"/>
      <c r="B16" s="301" t="s">
        <v>1700</v>
      </c>
      <c r="C16" s="1209" t="s">
        <v>1071</v>
      </c>
      <c r="D16" s="300">
        <v>7130820010</v>
      </c>
      <c r="E16" s="1198" t="s">
        <v>83</v>
      </c>
      <c r="F16" s="1199">
        <f>VLOOKUP(D16,'SOR RATE'!A:D,4,0)</f>
        <v>142</v>
      </c>
      <c r="G16" s="1198">
        <v>42</v>
      </c>
      <c r="H16" s="1199">
        <f aca="true" t="shared" si="0" ref="H16:H21">G16*F16</f>
        <v>5964</v>
      </c>
    </row>
    <row r="17" spans="1:8" ht="29.25" customHeight="1">
      <c r="A17" s="1558"/>
      <c r="B17" s="301" t="s">
        <v>5</v>
      </c>
      <c r="C17" s="1197" t="s">
        <v>156</v>
      </c>
      <c r="D17" s="300">
        <v>7130820248</v>
      </c>
      <c r="E17" s="1198" t="s">
        <v>83</v>
      </c>
      <c r="F17" s="1199">
        <f>VLOOKUP(D17,'SOR RATE'!A:D,4,0)</f>
        <v>241</v>
      </c>
      <c r="G17" s="1198">
        <v>21</v>
      </c>
      <c r="H17" s="1199">
        <f t="shared" si="0"/>
        <v>5061</v>
      </c>
    </row>
    <row r="18" spans="1:8" ht="15.75" customHeight="1">
      <c r="A18" s="1198">
        <v>6</v>
      </c>
      <c r="B18" s="1196"/>
      <c r="C18" s="302" t="s">
        <v>98</v>
      </c>
      <c r="D18" s="300">
        <v>7130820008</v>
      </c>
      <c r="E18" s="1198" t="s">
        <v>1611</v>
      </c>
      <c r="F18" s="1199">
        <f>VLOOKUP(D18,'SOR RATE'!A:D,4,0)</f>
        <v>202</v>
      </c>
      <c r="G18" s="1198">
        <v>3</v>
      </c>
      <c r="H18" s="1199">
        <f t="shared" si="0"/>
        <v>606</v>
      </c>
    </row>
    <row r="19" spans="1:8" ht="14.25">
      <c r="A19" s="1198">
        <v>7</v>
      </c>
      <c r="B19" s="1196"/>
      <c r="C19" s="1209" t="s">
        <v>1651</v>
      </c>
      <c r="D19" s="300">
        <v>7130840029</v>
      </c>
      <c r="E19" s="301" t="s">
        <v>1611</v>
      </c>
      <c r="F19" s="1199">
        <f>VLOOKUP(D19,'SOR RATE'!A:D,4,0)</f>
        <v>517</v>
      </c>
      <c r="G19" s="301">
        <v>3</v>
      </c>
      <c r="H19" s="1199">
        <f t="shared" si="0"/>
        <v>1551</v>
      </c>
    </row>
    <row r="20" spans="1:8" ht="14.25">
      <c r="A20" s="1198">
        <v>8</v>
      </c>
      <c r="B20" s="1196"/>
      <c r="C20" s="1209" t="s">
        <v>794</v>
      </c>
      <c r="D20" s="300">
        <v>7131930663</v>
      </c>
      <c r="E20" s="301" t="s">
        <v>1330</v>
      </c>
      <c r="F20" s="1199">
        <f>VLOOKUP(D20,'SOR RATE'!A:D,4,0)</f>
        <v>20595</v>
      </c>
      <c r="G20" s="301">
        <v>2</v>
      </c>
      <c r="H20" s="1199">
        <f t="shared" si="0"/>
        <v>41190</v>
      </c>
    </row>
    <row r="21" spans="1:8" ht="14.25">
      <c r="A21" s="1198">
        <v>9</v>
      </c>
      <c r="B21" s="1196"/>
      <c r="C21" s="1209" t="s">
        <v>1977</v>
      </c>
      <c r="D21" s="300">
        <v>7131930221</v>
      </c>
      <c r="E21" s="301" t="s">
        <v>1611</v>
      </c>
      <c r="F21" s="1199">
        <f>VLOOKUP(D21,'SOR RATE'!A:D,4,0)</f>
        <v>8675</v>
      </c>
      <c r="G21" s="301">
        <v>1</v>
      </c>
      <c r="H21" s="1199">
        <f t="shared" si="0"/>
        <v>8675</v>
      </c>
    </row>
    <row r="22" spans="1:8" ht="15">
      <c r="A22" s="1556">
        <v>10</v>
      </c>
      <c r="B22" s="1562" t="s">
        <v>795</v>
      </c>
      <c r="C22" s="1563"/>
      <c r="D22" s="1208"/>
      <c r="E22" s="301" t="s">
        <v>1571</v>
      </c>
      <c r="F22" s="1211"/>
      <c r="G22" s="301"/>
      <c r="H22" s="1199"/>
    </row>
    <row r="23" spans="1:11" ht="14.25">
      <c r="A23" s="1558"/>
      <c r="B23" s="1212" t="s">
        <v>1700</v>
      </c>
      <c r="C23" s="1209" t="s">
        <v>1337</v>
      </c>
      <c r="D23" s="300">
        <v>7130200401</v>
      </c>
      <c r="E23" s="301" t="s">
        <v>1576</v>
      </c>
      <c r="F23" s="1199">
        <f>VLOOKUP(D23,'SOR RATE'!A:D,4,0)/50</f>
        <v>4.9</v>
      </c>
      <c r="G23" s="301">
        <v>374.4</v>
      </c>
      <c r="H23" s="1199">
        <f>G23*F23</f>
        <v>1834.56</v>
      </c>
      <c r="J23" s="107"/>
      <c r="K23" s="107"/>
    </row>
    <row r="24" spans="1:8" ht="16.5" customHeight="1">
      <c r="A24" s="1198">
        <v>11</v>
      </c>
      <c r="B24" s="1196"/>
      <c r="C24" s="1213" t="s">
        <v>796</v>
      </c>
      <c r="D24" s="300">
        <v>7130830063</v>
      </c>
      <c r="E24" s="301" t="s">
        <v>1721</v>
      </c>
      <c r="F24" s="1199">
        <f>VLOOKUP(D24,'SOR RATE'!A:D,4,0)/1000</f>
        <v>54.885</v>
      </c>
      <c r="G24" s="301">
        <v>50</v>
      </c>
      <c r="H24" s="1199">
        <f>G24*F24</f>
        <v>2744.25</v>
      </c>
    </row>
    <row r="25" spans="1:8" ht="28.5" customHeight="1">
      <c r="A25" s="926">
        <v>12</v>
      </c>
      <c r="B25" s="1202"/>
      <c r="C25" s="1203" t="s">
        <v>759</v>
      </c>
      <c r="D25" s="1204">
        <v>7130830585</v>
      </c>
      <c r="E25" s="1205" t="s">
        <v>83</v>
      </c>
      <c r="F25" s="1206">
        <f>VLOOKUP(D25,'SOR RATE'!A:D,4,0)</f>
        <v>223</v>
      </c>
      <c r="G25" s="1205">
        <v>24</v>
      </c>
      <c r="H25" s="1206">
        <f>G25*F25</f>
        <v>5352</v>
      </c>
    </row>
    <row r="26" spans="1:8" ht="31.5" customHeight="1">
      <c r="A26" s="1556">
        <v>13</v>
      </c>
      <c r="B26" s="1196"/>
      <c r="C26" s="1214" t="s">
        <v>1130</v>
      </c>
      <c r="D26" s="1208"/>
      <c r="E26" s="1198" t="s">
        <v>83</v>
      </c>
      <c r="F26" s="1215">
        <f>H27+H28+H29</f>
        <v>162575</v>
      </c>
      <c r="G26" s="1216">
        <v>1</v>
      </c>
      <c r="H26" s="1199"/>
    </row>
    <row r="27" spans="1:13" ht="15" customHeight="1">
      <c r="A27" s="1557"/>
      <c r="B27" s="301" t="s">
        <v>1700</v>
      </c>
      <c r="C27" s="1217" t="s">
        <v>760</v>
      </c>
      <c r="D27" s="1218">
        <v>7131941762</v>
      </c>
      <c r="E27" s="301" t="s">
        <v>83</v>
      </c>
      <c r="F27" s="1199">
        <f>VLOOKUP(D27,'SOR RATE'!A:D,4,0)</f>
        <v>108176</v>
      </c>
      <c r="G27" s="1205">
        <v>1</v>
      </c>
      <c r="H27" s="1206">
        <f>G27*F27</f>
        <v>108176</v>
      </c>
      <c r="J27" s="303"/>
      <c r="K27" s="304"/>
      <c r="L27" s="305"/>
      <c r="M27" s="306"/>
    </row>
    <row r="28" spans="1:13" ht="15" customHeight="1">
      <c r="A28" s="1557"/>
      <c r="B28" s="301" t="s">
        <v>5</v>
      </c>
      <c r="C28" s="1203" t="s">
        <v>761</v>
      </c>
      <c r="D28" s="1218">
        <v>7131960008</v>
      </c>
      <c r="E28" s="1205" t="s">
        <v>83</v>
      </c>
      <c r="F28" s="1199">
        <f>VLOOKUP(D28,'SOR RATE'!A:D,4,0)</f>
        <v>26331</v>
      </c>
      <c r="G28" s="1205">
        <v>1</v>
      </c>
      <c r="H28" s="1206">
        <f>G28*F28</f>
        <v>26331</v>
      </c>
      <c r="J28" s="105"/>
      <c r="K28" s="304"/>
      <c r="L28" s="305"/>
      <c r="M28" s="306"/>
    </row>
    <row r="29" spans="1:13" ht="14.25">
      <c r="A29" s="1557"/>
      <c r="B29" s="301" t="s">
        <v>7</v>
      </c>
      <c r="C29" s="1209" t="s">
        <v>1704</v>
      </c>
      <c r="D29" s="300">
        <v>7132230188</v>
      </c>
      <c r="E29" s="301" t="s">
        <v>83</v>
      </c>
      <c r="F29" s="1199">
        <f>VLOOKUP(D29,'SOR RATE'!A:D,4,0)</f>
        <v>9356</v>
      </c>
      <c r="G29" s="1205">
        <v>3</v>
      </c>
      <c r="H29" s="1206">
        <f>G29*F29</f>
        <v>28068</v>
      </c>
      <c r="J29" s="303"/>
      <c r="K29" s="304"/>
      <c r="L29" s="305"/>
      <c r="M29" s="306"/>
    </row>
    <row r="30" spans="1:13" ht="14.25">
      <c r="A30" s="1558"/>
      <c r="B30" s="1219" t="s">
        <v>1705</v>
      </c>
      <c r="C30" s="925" t="s">
        <v>1775</v>
      </c>
      <c r="D30" s="1204">
        <v>7130352046</v>
      </c>
      <c r="E30" s="1220" t="s">
        <v>1331</v>
      </c>
      <c r="F30" s="1199">
        <f>VLOOKUP(D30,'SOR RATE'!A:D,4,0)</f>
        <v>3115</v>
      </c>
      <c r="G30" s="1205">
        <v>1</v>
      </c>
      <c r="H30" s="1206">
        <f>G30*F30</f>
        <v>3115</v>
      </c>
      <c r="J30" s="144"/>
      <c r="K30" s="304"/>
      <c r="L30" s="305"/>
      <c r="M30" s="306"/>
    </row>
    <row r="31" spans="1:8" ht="15">
      <c r="A31" s="1556">
        <v>14</v>
      </c>
      <c r="B31" s="1196"/>
      <c r="C31" s="1221" t="s">
        <v>26</v>
      </c>
      <c r="D31" s="1208"/>
      <c r="E31" s="301" t="s">
        <v>1571</v>
      </c>
      <c r="F31" s="1211"/>
      <c r="G31" s="301">
        <v>6</v>
      </c>
      <c r="H31" s="1199"/>
    </row>
    <row r="32" spans="1:8" ht="14.25">
      <c r="A32" s="1558"/>
      <c r="B32" s="1196"/>
      <c r="C32" s="1209" t="s">
        <v>27</v>
      </c>
      <c r="D32" s="300">
        <v>7130200401</v>
      </c>
      <c r="E32" s="301" t="s">
        <v>1576</v>
      </c>
      <c r="F32" s="1199">
        <f>VLOOKUP(D32,'SOR RATE'!A:D,4,0)/50</f>
        <v>4.9</v>
      </c>
      <c r="G32" s="301">
        <f>208*6</f>
        <v>1248</v>
      </c>
      <c r="H32" s="1199">
        <f>G32*F32</f>
        <v>6115.200000000001</v>
      </c>
    </row>
    <row r="33" spans="1:8" ht="15">
      <c r="A33" s="1556">
        <v>15</v>
      </c>
      <c r="B33" s="1196"/>
      <c r="C33" s="1221" t="s">
        <v>28</v>
      </c>
      <c r="D33" s="1222"/>
      <c r="E33" s="1223"/>
      <c r="F33" s="1223"/>
      <c r="G33" s="1223"/>
      <c r="H33" s="1224"/>
    </row>
    <row r="34" spans="1:13" ht="14.25">
      <c r="A34" s="1557"/>
      <c r="B34" s="1198" t="s">
        <v>1788</v>
      </c>
      <c r="C34" s="1209" t="s">
        <v>1789</v>
      </c>
      <c r="D34" s="1208">
        <v>7130310658</v>
      </c>
      <c r="E34" s="301" t="s">
        <v>1721</v>
      </c>
      <c r="F34" s="1199">
        <f>VLOOKUP(D34,'SOR RATE'!A:D,4,0)/1000</f>
        <v>106.359</v>
      </c>
      <c r="G34" s="301">
        <v>60</v>
      </c>
      <c r="H34" s="1199">
        <f>G34*F34</f>
        <v>6381.54</v>
      </c>
      <c r="J34" s="145"/>
      <c r="K34" s="145"/>
      <c r="L34" s="145"/>
      <c r="M34" s="145"/>
    </row>
    <row r="35" spans="1:13" ht="14.25">
      <c r="A35" s="1557"/>
      <c r="B35" s="1198" t="s">
        <v>1790</v>
      </c>
      <c r="C35" s="1209" t="s">
        <v>1791</v>
      </c>
      <c r="D35" s="1208">
        <v>7130310654</v>
      </c>
      <c r="E35" s="301" t="s">
        <v>1721</v>
      </c>
      <c r="F35" s="1199">
        <f>VLOOKUP(D35,'SOR RATE'!A:D,4,0)/1000</f>
        <v>58.843</v>
      </c>
      <c r="G35" s="301">
        <v>120</v>
      </c>
      <c r="H35" s="1199">
        <f>G35*F35</f>
        <v>7061.160000000001</v>
      </c>
      <c r="J35" s="145"/>
      <c r="K35" s="145"/>
      <c r="L35" s="145"/>
      <c r="M35" s="145"/>
    </row>
    <row r="36" spans="1:13" ht="14.25">
      <c r="A36" s="1558"/>
      <c r="B36" s="1198" t="s">
        <v>1764</v>
      </c>
      <c r="C36" s="1209" t="s">
        <v>29</v>
      </c>
      <c r="D36" s="1208">
        <v>7130310652</v>
      </c>
      <c r="E36" s="301" t="s">
        <v>1721</v>
      </c>
      <c r="F36" s="1199">
        <f>VLOOKUP(D36,'SOR RATE'!A:D,4,0)/1000</f>
        <v>35.395</v>
      </c>
      <c r="G36" s="301">
        <v>60</v>
      </c>
      <c r="H36" s="1199">
        <f>G36*F36</f>
        <v>2123.7000000000003</v>
      </c>
      <c r="J36" s="145"/>
      <c r="K36" s="145"/>
      <c r="L36" s="145"/>
      <c r="M36" s="145"/>
    </row>
    <row r="37" spans="1:13" ht="17.25" customHeight="1">
      <c r="A37" s="1559">
        <v>16</v>
      </c>
      <c r="B37" s="1196"/>
      <c r="C37" s="1226" t="s">
        <v>30</v>
      </c>
      <c r="D37" s="1208"/>
      <c r="E37" s="1205" t="s">
        <v>83</v>
      </c>
      <c r="F37" s="1227">
        <f>+H38</f>
        <v>3434</v>
      </c>
      <c r="G37" s="1228">
        <v>1</v>
      </c>
      <c r="H37" s="1199"/>
      <c r="J37" s="307"/>
      <c r="K37" s="145"/>
      <c r="L37" s="145"/>
      <c r="M37" s="308"/>
    </row>
    <row r="38" spans="1:13" ht="17.25" customHeight="1">
      <c r="A38" s="1560"/>
      <c r="B38" s="1202"/>
      <c r="C38" s="925" t="s">
        <v>1963</v>
      </c>
      <c r="D38" s="1229">
        <v>7131310033</v>
      </c>
      <c r="E38" s="1205" t="s">
        <v>83</v>
      </c>
      <c r="F38" s="1230">
        <f>VLOOKUP(D38,'SOR RATE'!A:D,4,0)</f>
        <v>3434</v>
      </c>
      <c r="G38" s="1205">
        <v>1</v>
      </c>
      <c r="H38" s="1206">
        <f>G38*F38</f>
        <v>3434</v>
      </c>
      <c r="J38" s="189"/>
      <c r="K38" s="189"/>
      <c r="L38" s="189"/>
      <c r="M38" s="175"/>
    </row>
    <row r="39" spans="1:13" ht="16.5" customHeight="1">
      <c r="A39" s="1212">
        <v>17</v>
      </c>
      <c r="B39" s="1202"/>
      <c r="C39" s="1213" t="s">
        <v>31</v>
      </c>
      <c r="D39" s="1229">
        <v>7132230412</v>
      </c>
      <c r="E39" s="1205" t="s">
        <v>1611</v>
      </c>
      <c r="F39" s="1230">
        <f>VLOOKUP(D39,'SOR RATE'!A:D,4,0)</f>
        <v>31171</v>
      </c>
      <c r="G39" s="1205">
        <v>1</v>
      </c>
      <c r="H39" s="1206">
        <f>G39*F39</f>
        <v>31171</v>
      </c>
      <c r="J39" s="309"/>
      <c r="K39" s="310"/>
      <c r="L39" s="177"/>
      <c r="M39" s="175"/>
    </row>
    <row r="40" spans="1:8" ht="15">
      <c r="A40" s="1559">
        <v>18</v>
      </c>
      <c r="B40" s="1196"/>
      <c r="C40" s="1210" t="s">
        <v>32</v>
      </c>
      <c r="D40" s="1208"/>
      <c r="E40" s="301" t="s">
        <v>1576</v>
      </c>
      <c r="F40" s="1211"/>
      <c r="G40" s="1231">
        <v>30</v>
      </c>
      <c r="H40" s="1199"/>
    </row>
    <row r="41" spans="1:8" ht="14.25">
      <c r="A41" s="1561"/>
      <c r="B41" s="1212" t="s">
        <v>1788</v>
      </c>
      <c r="C41" s="1217" t="s">
        <v>635</v>
      </c>
      <c r="D41" s="1208">
        <v>7130620609</v>
      </c>
      <c r="E41" s="301" t="s">
        <v>1576</v>
      </c>
      <c r="F41" s="1199">
        <f>VLOOKUP(D41,'SOR RATE'!A:D,4,0)</f>
        <v>63</v>
      </c>
      <c r="G41" s="301">
        <v>3</v>
      </c>
      <c r="H41" s="1199">
        <f aca="true" t="shared" si="1" ref="H41:H46">G41*F41</f>
        <v>189</v>
      </c>
    </row>
    <row r="42" spans="1:8" ht="14.25">
      <c r="A42" s="1561"/>
      <c r="B42" s="1212" t="s">
        <v>1790</v>
      </c>
      <c r="C42" s="1217" t="s">
        <v>447</v>
      </c>
      <c r="D42" s="1208">
        <v>7130620614</v>
      </c>
      <c r="E42" s="301" t="s">
        <v>1576</v>
      </c>
      <c r="F42" s="1199">
        <f>VLOOKUP(D42,'SOR RATE'!A:D,4,0)</f>
        <v>62</v>
      </c>
      <c r="G42" s="301">
        <v>2</v>
      </c>
      <c r="H42" s="1199">
        <f t="shared" si="1"/>
        <v>124</v>
      </c>
    </row>
    <row r="43" spans="1:8" ht="14.25">
      <c r="A43" s="1561"/>
      <c r="B43" s="1212" t="s">
        <v>1764</v>
      </c>
      <c r="C43" s="1217" t="s">
        <v>448</v>
      </c>
      <c r="D43" s="1208">
        <v>7130620619</v>
      </c>
      <c r="E43" s="301" t="s">
        <v>1576</v>
      </c>
      <c r="F43" s="1199">
        <f>VLOOKUP(D43,'SOR RATE'!A:D,4,0)</f>
        <v>62</v>
      </c>
      <c r="G43" s="301">
        <v>2</v>
      </c>
      <c r="H43" s="1199">
        <f t="shared" si="1"/>
        <v>124</v>
      </c>
    </row>
    <row r="44" spans="1:8" ht="14.25">
      <c r="A44" s="1561"/>
      <c r="B44" s="1212" t="s">
        <v>33</v>
      </c>
      <c r="C44" s="1217" t="s">
        <v>449</v>
      </c>
      <c r="D44" s="1208">
        <v>7130620627</v>
      </c>
      <c r="E44" s="301" t="s">
        <v>1576</v>
      </c>
      <c r="F44" s="1199">
        <f>VLOOKUP(D44,'SOR RATE'!A:D,4,0)</f>
        <v>61</v>
      </c>
      <c r="G44" s="301">
        <v>6</v>
      </c>
      <c r="H44" s="1199">
        <f t="shared" si="1"/>
        <v>366</v>
      </c>
    </row>
    <row r="45" spans="1:8" ht="14.25">
      <c r="A45" s="1561"/>
      <c r="B45" s="1212" t="s">
        <v>34</v>
      </c>
      <c r="C45" s="1217" t="s">
        <v>131</v>
      </c>
      <c r="D45" s="1208">
        <v>7130620631</v>
      </c>
      <c r="E45" s="301" t="s">
        <v>1576</v>
      </c>
      <c r="F45" s="1199">
        <f>VLOOKUP(D45,'SOR RATE'!A:D,4,0)</f>
        <v>61</v>
      </c>
      <c r="G45" s="301">
        <v>15</v>
      </c>
      <c r="H45" s="1199">
        <f t="shared" si="1"/>
        <v>915</v>
      </c>
    </row>
    <row r="46" spans="1:8" ht="14.25">
      <c r="A46" s="1560"/>
      <c r="B46" s="1212" t="s">
        <v>35</v>
      </c>
      <c r="C46" s="1217" t="s">
        <v>132</v>
      </c>
      <c r="D46" s="1208">
        <v>7130620637</v>
      </c>
      <c r="E46" s="301" t="s">
        <v>1576</v>
      </c>
      <c r="F46" s="1199">
        <f>VLOOKUP(D46,'SOR RATE'!A:D,4,0)</f>
        <v>61</v>
      </c>
      <c r="G46" s="301">
        <v>2</v>
      </c>
      <c r="H46" s="1199">
        <f t="shared" si="1"/>
        <v>122</v>
      </c>
    </row>
    <row r="47" spans="1:10" ht="15">
      <c r="A47" s="1228">
        <v>19</v>
      </c>
      <c r="B47" s="1232"/>
      <c r="C47" s="1233" t="s">
        <v>1052</v>
      </c>
      <c r="D47" s="1231"/>
      <c r="E47" s="1231"/>
      <c r="F47" s="1234"/>
      <c r="G47" s="1235"/>
      <c r="H47" s="1227">
        <f>SUM(H11:H46)</f>
        <v>392173.105</v>
      </c>
      <c r="I47" s="271"/>
      <c r="J47" s="272"/>
    </row>
    <row r="48" spans="1:10" ht="15" customHeight="1">
      <c r="A48" s="1225">
        <v>20</v>
      </c>
      <c r="B48" s="1236"/>
      <c r="C48" s="1043" t="s">
        <v>1051</v>
      </c>
      <c r="D48" s="1237"/>
      <c r="E48" s="1238"/>
      <c r="F48" s="301">
        <v>0.09</v>
      </c>
      <c r="G48" s="1238"/>
      <c r="H48" s="1239">
        <f>H47*F48</f>
        <v>35295.57945</v>
      </c>
      <c r="I48" s="271"/>
      <c r="J48" s="272"/>
    </row>
    <row r="49" spans="1:8" ht="14.25">
      <c r="A49" s="1559">
        <v>21</v>
      </c>
      <c r="B49" s="1212" t="s">
        <v>1788</v>
      </c>
      <c r="C49" s="1209" t="s">
        <v>36</v>
      </c>
      <c r="D49" s="1240"/>
      <c r="E49" s="301" t="s">
        <v>1571</v>
      </c>
      <c r="F49" s="1239">
        <f>1664*1.27*1.0891*1.086275*1.1112*1.0685*1.06217</f>
        <v>3153.010200829536</v>
      </c>
      <c r="G49" s="1241">
        <v>1.8</v>
      </c>
      <c r="H49" s="1239">
        <f>G49*F49</f>
        <v>5675.418361493165</v>
      </c>
    </row>
    <row r="50" spans="1:8" ht="14.25">
      <c r="A50" s="1561"/>
      <c r="B50" s="1212" t="s">
        <v>1790</v>
      </c>
      <c r="C50" s="1242" t="s">
        <v>37</v>
      </c>
      <c r="D50" s="1243"/>
      <c r="E50" s="301" t="s">
        <v>1571</v>
      </c>
      <c r="F50" s="1239">
        <f>1664*1.27*1.0891*1.086275*1.1112*1.0685*1.06217</f>
        <v>3153.010200829536</v>
      </c>
      <c r="G50" s="1241">
        <v>6</v>
      </c>
      <c r="H50" s="1239">
        <f>G50*F50</f>
        <v>18918.061204977217</v>
      </c>
    </row>
    <row r="51" spans="1:8" ht="14.25">
      <c r="A51" s="1561"/>
      <c r="B51" s="1212" t="s">
        <v>1764</v>
      </c>
      <c r="C51" s="1209" t="s">
        <v>38</v>
      </c>
      <c r="D51" s="1243"/>
      <c r="E51" s="301" t="s">
        <v>83</v>
      </c>
      <c r="F51" s="1239">
        <f>1.1*1400*1.27*1.0891*1.086275*1.1112*1.0685*1.06217</f>
        <v>2918.0503060561823</v>
      </c>
      <c r="G51" s="1241">
        <v>1</v>
      </c>
      <c r="H51" s="1239">
        <f>G51*F51</f>
        <v>2918.0503060561823</v>
      </c>
    </row>
    <row r="52" spans="1:8" ht="14.25">
      <c r="A52" s="1560"/>
      <c r="B52" s="1212" t="s">
        <v>33</v>
      </c>
      <c r="C52" s="1209" t="s">
        <v>39</v>
      </c>
      <c r="D52" s="1243"/>
      <c r="E52" s="301" t="s">
        <v>83</v>
      </c>
      <c r="F52" s="1239">
        <f>1.1*2000*1.27*1.0891*1.086275*1.1112*1.0685*1.06217</f>
        <v>4168.643294365974</v>
      </c>
      <c r="G52" s="1241">
        <v>1</v>
      </c>
      <c r="H52" s="1239">
        <f>G52*F52</f>
        <v>4168.643294365974</v>
      </c>
    </row>
    <row r="53" spans="1:9" ht="15.75">
      <c r="A53" s="1205">
        <v>22</v>
      </c>
      <c r="B53" s="1202"/>
      <c r="C53" s="1244" t="s">
        <v>40</v>
      </c>
      <c r="D53" s="1205"/>
      <c r="E53" s="1205"/>
      <c r="F53" s="1245"/>
      <c r="G53" s="1246"/>
      <c r="H53" s="1230">
        <v>20759.72</v>
      </c>
      <c r="I53" s="292"/>
    </row>
    <row r="54" spans="1:12" ht="29.25" customHeight="1">
      <c r="A54" s="301">
        <v>23</v>
      </c>
      <c r="B54" s="1219"/>
      <c r="C54" s="1197" t="s">
        <v>1456</v>
      </c>
      <c r="D54" s="1247"/>
      <c r="E54" s="301"/>
      <c r="F54" s="1248"/>
      <c r="G54" s="1241"/>
      <c r="H54" s="1230">
        <f>1.1*1.1*1912*1.2*1.1*1.1797*1.1402*0.9368*0.87</f>
        <v>3347.8496067241977</v>
      </c>
      <c r="L54" s="145"/>
    </row>
    <row r="55" spans="1:12" ht="15">
      <c r="A55" s="1231">
        <v>24</v>
      </c>
      <c r="B55" s="1219"/>
      <c r="C55" s="1233" t="s">
        <v>1053</v>
      </c>
      <c r="D55" s="1247"/>
      <c r="E55" s="301"/>
      <c r="F55" s="1248"/>
      <c r="G55" s="1241"/>
      <c r="H55" s="860">
        <f>H47+H48+H49+H50+H51+H52+H53+H54</f>
        <v>483256.42722361675</v>
      </c>
      <c r="I55" s="252"/>
      <c r="L55" s="177"/>
    </row>
    <row r="56" spans="1:12" ht="30.75" customHeight="1">
      <c r="A56" s="301">
        <v>25</v>
      </c>
      <c r="B56" s="1219"/>
      <c r="C56" s="1043" t="s">
        <v>1054</v>
      </c>
      <c r="D56" s="1247"/>
      <c r="E56" s="301"/>
      <c r="F56" s="1230">
        <v>0.11</v>
      </c>
      <c r="G56" s="1246"/>
      <c r="H56" s="1230">
        <f>H47*F56</f>
        <v>43139.04155</v>
      </c>
      <c r="I56" s="252"/>
      <c r="L56" s="177"/>
    </row>
    <row r="57" spans="1:8" ht="15" customHeight="1">
      <c r="A57" s="1205">
        <v>26</v>
      </c>
      <c r="B57" s="1202"/>
      <c r="C57" s="1244" t="s">
        <v>1457</v>
      </c>
      <c r="D57" s="1241"/>
      <c r="E57" s="301"/>
      <c r="F57" s="1219"/>
      <c r="G57" s="1241"/>
      <c r="H57" s="1230">
        <f>H55+H56</f>
        <v>526395.4687736167</v>
      </c>
    </row>
    <row r="58" spans="1:8" ht="18" customHeight="1">
      <c r="A58" s="135">
        <v>27</v>
      </c>
      <c r="B58" s="1249"/>
      <c r="C58" s="1250" t="s">
        <v>1458</v>
      </c>
      <c r="D58" s="135"/>
      <c r="E58" s="135"/>
      <c r="F58" s="1249"/>
      <c r="G58" s="135"/>
      <c r="H58" s="860">
        <f>ROUND(H57,0)</f>
        <v>526395</v>
      </c>
    </row>
    <row r="59" spans="1:8" ht="12.75">
      <c r="A59" s="311"/>
      <c r="B59" s="312"/>
      <c r="C59" s="308"/>
      <c r="D59" s="313"/>
      <c r="E59" s="313"/>
      <c r="F59" s="314"/>
      <c r="G59" s="313"/>
      <c r="H59" s="276"/>
    </row>
    <row r="60" spans="1:5" ht="15">
      <c r="A60" s="1555" t="s">
        <v>1459</v>
      </c>
      <c r="B60" s="1555"/>
      <c r="C60" s="477" t="s">
        <v>130</v>
      </c>
      <c r="D60" s="315"/>
      <c r="E60" s="316"/>
    </row>
    <row r="61" ht="12.75">
      <c r="D61" s="79"/>
    </row>
    <row r="63" spans="1:10" ht="19.5" customHeight="1">
      <c r="A63" s="317"/>
      <c r="B63" s="317"/>
      <c r="C63" s="317"/>
      <c r="J63" s="318"/>
    </row>
    <row r="64" spans="1:3" ht="18" customHeight="1">
      <c r="A64" s="317"/>
      <c r="B64" s="317"/>
      <c r="C64" s="317"/>
    </row>
  </sheetData>
  <sheetProtection/>
  <mergeCells count="20">
    <mergeCell ref="C4:H4"/>
    <mergeCell ref="F8:F9"/>
    <mergeCell ref="G8:H8"/>
    <mergeCell ref="C1:F1"/>
    <mergeCell ref="D8:D9"/>
    <mergeCell ref="E8:E9"/>
    <mergeCell ref="C2:E2"/>
    <mergeCell ref="A15:A17"/>
    <mergeCell ref="A22:A23"/>
    <mergeCell ref="B22:C22"/>
    <mergeCell ref="A8:A9"/>
    <mergeCell ref="B10:C10"/>
    <mergeCell ref="B8:C9"/>
    <mergeCell ref="A60:B60"/>
    <mergeCell ref="A26:A30"/>
    <mergeCell ref="A31:A32"/>
    <mergeCell ref="A33:A36"/>
    <mergeCell ref="A37:A38"/>
    <mergeCell ref="A40:A46"/>
    <mergeCell ref="A49:A52"/>
  </mergeCells>
  <printOptions horizontalCentered="1"/>
  <pageMargins left="1" right="0.15" top="0.72" bottom="0.41" header="0.55" footer="0.23"/>
  <pageSetup horizontalDpi="600" verticalDpi="600" orientation="landscape" paperSize="9" scale="122" r:id="rId2"/>
  <drawing r:id="rId1"/>
</worksheet>
</file>

<file path=xl/worksheets/sheet21.xml><?xml version="1.0" encoding="utf-8"?>
<worksheet xmlns="http://schemas.openxmlformats.org/spreadsheetml/2006/main" xmlns:r="http://schemas.openxmlformats.org/officeDocument/2006/relationships">
  <sheetPr>
    <tabColor indexed="35"/>
  </sheetPr>
  <dimension ref="A1:I42"/>
  <sheetViews>
    <sheetView zoomScalePageLayoutView="0" workbookViewId="0" topLeftCell="A1">
      <pane xSplit="1" ySplit="7" topLeftCell="B35" activePane="bottomRight" state="frozen"/>
      <selection pane="topLeft" activeCell="A1" sqref="A1"/>
      <selection pane="topRight" activeCell="B1" sqref="B1"/>
      <selection pane="bottomLeft" activeCell="A7" sqref="A7"/>
      <selection pane="bottomRight" activeCell="K32" sqref="K32"/>
    </sheetView>
  </sheetViews>
  <sheetFormatPr defaultColWidth="9.140625" defaultRowHeight="12.75"/>
  <cols>
    <col min="1" max="1" width="5.140625" style="79" customWidth="1"/>
    <col min="2" max="2" width="54.28125" style="294" customWidth="1"/>
    <col min="3" max="3" width="12.8515625" style="2" customWidth="1"/>
    <col min="4" max="4" width="5.57421875" style="330" customWidth="1"/>
    <col min="5" max="5" width="10.28125" style="2" customWidth="1"/>
    <col min="6" max="6" width="6.140625" style="2" customWidth="1"/>
    <col min="7" max="7" width="11.140625" style="2" customWidth="1"/>
    <col min="8" max="8" width="14.8515625" style="2" customWidth="1"/>
    <col min="9" max="9" width="9.140625" style="2" customWidth="1"/>
    <col min="10" max="10" width="12.421875" style="2" bestFit="1" customWidth="1"/>
    <col min="11" max="16384" width="9.140625" style="2" customWidth="1"/>
  </cols>
  <sheetData>
    <row r="1" spans="2:7" ht="18">
      <c r="B1" s="1400" t="s">
        <v>1460</v>
      </c>
      <c r="C1" s="1400"/>
      <c r="D1" s="1400"/>
      <c r="E1" s="126"/>
      <c r="F1" s="126"/>
      <c r="G1" s="126"/>
    </row>
    <row r="2" spans="2:7" ht="15.75">
      <c r="B2" s="1581" t="s">
        <v>867</v>
      </c>
      <c r="C2" s="1581"/>
      <c r="D2" s="1581"/>
      <c r="E2" s="319"/>
      <c r="F2" s="1554" t="s">
        <v>244</v>
      </c>
      <c r="G2" s="1554"/>
    </row>
    <row r="3" spans="1:7" ht="13.5" customHeight="1">
      <c r="A3" s="1585"/>
      <c r="B3" s="1585"/>
      <c r="C3" s="1585"/>
      <c r="D3" s="1585"/>
      <c r="E3" s="1585"/>
      <c r="F3" s="1585"/>
      <c r="G3" s="1585"/>
    </row>
    <row r="4" spans="1:7" ht="15">
      <c r="A4" s="1554" t="s">
        <v>1461</v>
      </c>
      <c r="B4" s="1554"/>
      <c r="C4" s="1554"/>
      <c r="D4" s="1554"/>
      <c r="E4" s="1554"/>
      <c r="F4" s="1554"/>
      <c r="G4" s="1554"/>
    </row>
    <row r="5" spans="1:7" ht="12.75">
      <c r="A5" s="177"/>
      <c r="B5" s="309"/>
      <c r="C5" s="145"/>
      <c r="D5" s="320"/>
      <c r="E5" s="145"/>
      <c r="F5" s="145"/>
      <c r="G5" s="311"/>
    </row>
    <row r="6" spans="1:7" ht="30" customHeight="1">
      <c r="A6" s="46" t="s">
        <v>2104</v>
      </c>
      <c r="B6" s="46" t="s">
        <v>79</v>
      </c>
      <c r="C6" s="46" t="s">
        <v>88</v>
      </c>
      <c r="D6" s="46" t="s">
        <v>80</v>
      </c>
      <c r="E6" s="46" t="s">
        <v>1326</v>
      </c>
      <c r="F6" s="46" t="s">
        <v>1462</v>
      </c>
      <c r="G6" s="46" t="s">
        <v>1327</v>
      </c>
    </row>
    <row r="7" spans="1:7" ht="12.75">
      <c r="A7" s="245">
        <v>1</v>
      </c>
      <c r="B7" s="321">
        <v>2</v>
      </c>
      <c r="C7" s="245">
        <v>3</v>
      </c>
      <c r="D7" s="321">
        <v>4</v>
      </c>
      <c r="E7" s="245">
        <v>5</v>
      </c>
      <c r="F7" s="321">
        <v>6</v>
      </c>
      <c r="G7" s="245">
        <v>7</v>
      </c>
    </row>
    <row r="8" spans="1:7" ht="30.75" customHeight="1">
      <c r="A8" s="926">
        <v>1</v>
      </c>
      <c r="B8" s="1203" t="s">
        <v>1463</v>
      </c>
      <c r="C8" s="1229">
        <v>7130601958</v>
      </c>
      <c r="D8" s="926" t="s">
        <v>1576</v>
      </c>
      <c r="E8" s="1230">
        <f>VLOOKUP(C8,'SOR RATE'!A:D,4,0)/1000</f>
        <v>32.575</v>
      </c>
      <c r="F8" s="926">
        <v>593.6</v>
      </c>
      <c r="G8" s="1206">
        <f>F8*E8</f>
        <v>19336.520000000004</v>
      </c>
    </row>
    <row r="9" spans="1:7" ht="18.75" customHeight="1">
      <c r="A9" s="1205">
        <v>2</v>
      </c>
      <c r="B9" s="1203" t="s">
        <v>1464</v>
      </c>
      <c r="C9" s="1229">
        <v>7130810684</v>
      </c>
      <c r="D9" s="1205" t="s">
        <v>1330</v>
      </c>
      <c r="E9" s="1230">
        <f>VLOOKUP(C9,'SOR RATE'!A:D,4,0)</f>
        <v>6989.71</v>
      </c>
      <c r="F9" s="1205">
        <v>6</v>
      </c>
      <c r="G9" s="1206">
        <f>F9*E9</f>
        <v>41938.26</v>
      </c>
    </row>
    <row r="10" spans="1:7" ht="33.75" customHeight="1">
      <c r="A10" s="1582">
        <v>3</v>
      </c>
      <c r="B10" s="1226" t="s">
        <v>1465</v>
      </c>
      <c r="C10" s="1229"/>
      <c r="D10" s="926" t="s">
        <v>1330</v>
      </c>
      <c r="E10" s="1251">
        <f>G11+G12</f>
        <v>17430</v>
      </c>
      <c r="F10" s="1252">
        <v>15</v>
      </c>
      <c r="G10" s="1206"/>
    </row>
    <row r="11" spans="1:7" ht="14.25" customHeight="1">
      <c r="A11" s="1583"/>
      <c r="B11" s="1203" t="s">
        <v>868</v>
      </c>
      <c r="C11" s="1229">
        <v>7130820011</v>
      </c>
      <c r="D11" s="926" t="s">
        <v>83</v>
      </c>
      <c r="E11" s="1230">
        <f>VLOOKUP(C11,'SOR RATE'!A:D,4,0)</f>
        <v>307</v>
      </c>
      <c r="F11" s="926">
        <v>45</v>
      </c>
      <c r="G11" s="1206">
        <f aca="true" t="shared" si="0" ref="G11:G16">F11*E11</f>
        <v>13815</v>
      </c>
    </row>
    <row r="12" spans="1:7" ht="15" customHeight="1">
      <c r="A12" s="1584"/>
      <c r="B12" s="1203" t="s">
        <v>1466</v>
      </c>
      <c r="C12" s="1229">
        <v>7130820248</v>
      </c>
      <c r="D12" s="926" t="s">
        <v>1611</v>
      </c>
      <c r="E12" s="1230">
        <f>VLOOKUP(C12,'SOR RATE'!A:D,4,0)</f>
        <v>241</v>
      </c>
      <c r="F12" s="926">
        <v>15</v>
      </c>
      <c r="G12" s="1206">
        <f t="shared" si="0"/>
        <v>3615</v>
      </c>
    </row>
    <row r="13" spans="1:7" ht="15.75" customHeight="1">
      <c r="A13" s="1205">
        <v>4</v>
      </c>
      <c r="B13" s="1203" t="s">
        <v>1467</v>
      </c>
      <c r="C13" s="1229">
        <v>7131930109</v>
      </c>
      <c r="D13" s="1205" t="s">
        <v>83</v>
      </c>
      <c r="E13" s="1230">
        <f>VLOOKUP(C13,'SOR RATE'!A:D,4,0)</f>
        <v>40225</v>
      </c>
      <c r="F13" s="1205">
        <v>2</v>
      </c>
      <c r="G13" s="1206">
        <f t="shared" si="0"/>
        <v>80450</v>
      </c>
    </row>
    <row r="14" spans="1:7" ht="14.25">
      <c r="A14" s="1205">
        <v>5</v>
      </c>
      <c r="B14" s="1203" t="s">
        <v>1468</v>
      </c>
      <c r="C14" s="1229">
        <v>7130830585</v>
      </c>
      <c r="D14" s="1205" t="s">
        <v>83</v>
      </c>
      <c r="E14" s="1230">
        <f>VLOOKUP(C14,'SOR RATE'!A:D,4,0)</f>
        <v>223</v>
      </c>
      <c r="F14" s="1205">
        <v>12</v>
      </c>
      <c r="G14" s="1206">
        <f t="shared" si="0"/>
        <v>2676</v>
      </c>
    </row>
    <row r="15" spans="1:7" ht="14.25">
      <c r="A15" s="1205">
        <v>6</v>
      </c>
      <c r="B15" s="1203" t="s">
        <v>1469</v>
      </c>
      <c r="C15" s="1229">
        <v>7130830585</v>
      </c>
      <c r="D15" s="1205" t="s">
        <v>83</v>
      </c>
      <c r="E15" s="1230">
        <f>VLOOKUP(C15,'SOR RATE'!A:D,4,0)</f>
        <v>223</v>
      </c>
      <c r="F15" s="1205">
        <v>6</v>
      </c>
      <c r="G15" s="1206">
        <f t="shared" si="0"/>
        <v>1338</v>
      </c>
    </row>
    <row r="16" spans="1:7" ht="14.25" customHeight="1">
      <c r="A16" s="1205">
        <v>7</v>
      </c>
      <c r="B16" s="1203" t="s">
        <v>1470</v>
      </c>
      <c r="C16" s="1229">
        <v>7130830063</v>
      </c>
      <c r="D16" s="1205" t="s">
        <v>1721</v>
      </c>
      <c r="E16" s="1230">
        <f>VLOOKUP(C16,'SOR RATE'!A:D,4,0)/1000</f>
        <v>54.885</v>
      </c>
      <c r="F16" s="1205">
        <v>50</v>
      </c>
      <c r="G16" s="1206">
        <f t="shared" si="0"/>
        <v>2744.25</v>
      </c>
    </row>
    <row r="17" spans="1:7" ht="15">
      <c r="A17" s="1575">
        <v>8</v>
      </c>
      <c r="B17" s="1226" t="s">
        <v>1471</v>
      </c>
      <c r="C17" s="1229"/>
      <c r="D17" s="1205" t="s">
        <v>1571</v>
      </c>
      <c r="E17" s="1230"/>
      <c r="F17" s="1228"/>
      <c r="G17" s="1206"/>
    </row>
    <row r="18" spans="1:7" ht="14.25">
      <c r="A18" s="1577"/>
      <c r="B18" s="1203" t="s">
        <v>171</v>
      </c>
      <c r="C18" s="1229">
        <v>7130200401</v>
      </c>
      <c r="D18" s="1205" t="s">
        <v>1576</v>
      </c>
      <c r="E18" s="1230">
        <f>VLOOKUP(C18,'SOR RATE'!A:D,4,0)/50</f>
        <v>4.9</v>
      </c>
      <c r="F18" s="1205">
        <v>187</v>
      </c>
      <c r="G18" s="1206">
        <f>F18*E18</f>
        <v>916.3000000000001</v>
      </c>
    </row>
    <row r="19" spans="1:7" ht="14.25">
      <c r="A19" s="1253">
        <v>9</v>
      </c>
      <c r="B19" s="1203" t="s">
        <v>496</v>
      </c>
      <c r="C19" s="1229">
        <v>7130820009</v>
      </c>
      <c r="D19" s="1205" t="s">
        <v>1611</v>
      </c>
      <c r="E19" s="1230">
        <f>VLOOKUP(C19,'SOR RATE'!A:D,4,0)</f>
        <v>385</v>
      </c>
      <c r="F19" s="1205">
        <v>6</v>
      </c>
      <c r="G19" s="1206">
        <f>F19*E19</f>
        <v>2310</v>
      </c>
    </row>
    <row r="20" spans="1:7" ht="15">
      <c r="A20" s="1575">
        <v>10</v>
      </c>
      <c r="B20" s="1226" t="s">
        <v>32</v>
      </c>
      <c r="C20" s="1229"/>
      <c r="D20" s="1205" t="s">
        <v>1576</v>
      </c>
      <c r="E20" s="1230"/>
      <c r="F20" s="1228">
        <v>40</v>
      </c>
      <c r="G20" s="1206"/>
    </row>
    <row r="21" spans="1:7" ht="14.25">
      <c r="A21" s="1576"/>
      <c r="B21" s="925" t="s">
        <v>635</v>
      </c>
      <c r="C21" s="1229">
        <v>7130620609</v>
      </c>
      <c r="D21" s="1205" t="s">
        <v>1576</v>
      </c>
      <c r="E21" s="1230">
        <f>VLOOKUP(C21,'SOR RATE'!A:D,4,0)</f>
        <v>63</v>
      </c>
      <c r="F21" s="1205">
        <v>2</v>
      </c>
      <c r="G21" s="1206">
        <f aca="true" t="shared" si="1" ref="G21:G26">F21*E21</f>
        <v>126</v>
      </c>
    </row>
    <row r="22" spans="1:7" ht="14.25">
      <c r="A22" s="1576"/>
      <c r="B22" s="925" t="s">
        <v>447</v>
      </c>
      <c r="C22" s="1229">
        <v>7130620614</v>
      </c>
      <c r="D22" s="1205" t="s">
        <v>1576</v>
      </c>
      <c r="E22" s="1230">
        <f>VLOOKUP(C22,'SOR RATE'!A:D,4,0)</f>
        <v>62</v>
      </c>
      <c r="F22" s="1205">
        <v>3</v>
      </c>
      <c r="G22" s="1206">
        <f t="shared" si="1"/>
        <v>186</v>
      </c>
    </row>
    <row r="23" spans="1:7" ht="14.25">
      <c r="A23" s="1576"/>
      <c r="B23" s="925" t="s">
        <v>448</v>
      </c>
      <c r="C23" s="1229">
        <v>7130620619</v>
      </c>
      <c r="D23" s="1205" t="s">
        <v>1576</v>
      </c>
      <c r="E23" s="1230">
        <f>VLOOKUP(C23,'SOR RATE'!A:D,4,0)</f>
        <v>62</v>
      </c>
      <c r="F23" s="1205">
        <v>5</v>
      </c>
      <c r="G23" s="1206">
        <f t="shared" si="1"/>
        <v>310</v>
      </c>
    </row>
    <row r="24" spans="1:7" ht="14.25">
      <c r="A24" s="1576"/>
      <c r="B24" s="925" t="s">
        <v>449</v>
      </c>
      <c r="C24" s="1229">
        <v>7130620627</v>
      </c>
      <c r="D24" s="1205" t="s">
        <v>1576</v>
      </c>
      <c r="E24" s="1230">
        <f>VLOOKUP(C24,'SOR RATE'!A:D,4,0)</f>
        <v>61</v>
      </c>
      <c r="F24" s="1205">
        <v>15</v>
      </c>
      <c r="G24" s="1206">
        <f t="shared" si="1"/>
        <v>915</v>
      </c>
    </row>
    <row r="25" spans="1:7" ht="14.25">
      <c r="A25" s="1576"/>
      <c r="B25" s="925" t="s">
        <v>131</v>
      </c>
      <c r="C25" s="1204">
        <v>7130620631</v>
      </c>
      <c r="D25" s="1205" t="s">
        <v>1576</v>
      </c>
      <c r="E25" s="1230">
        <f>VLOOKUP(C25,'SOR RATE'!A:D,4,0)</f>
        <v>61</v>
      </c>
      <c r="F25" s="1205">
        <v>10</v>
      </c>
      <c r="G25" s="1206">
        <f t="shared" si="1"/>
        <v>610</v>
      </c>
    </row>
    <row r="26" spans="1:7" ht="14.25">
      <c r="A26" s="1577"/>
      <c r="B26" s="925" t="s">
        <v>132</v>
      </c>
      <c r="C26" s="1229">
        <v>7130620637</v>
      </c>
      <c r="D26" s="1205" t="s">
        <v>1576</v>
      </c>
      <c r="E26" s="1230">
        <f>VLOOKUP(C26,'SOR RATE'!A:D,4,0)</f>
        <v>61</v>
      </c>
      <c r="F26" s="1205">
        <v>5</v>
      </c>
      <c r="G26" s="1206">
        <f t="shared" si="1"/>
        <v>305</v>
      </c>
    </row>
    <row r="27" spans="1:9" ht="15" customHeight="1">
      <c r="A27" s="1228">
        <v>11</v>
      </c>
      <c r="B27" s="1233" t="s">
        <v>1052</v>
      </c>
      <c r="C27" s="1228"/>
      <c r="D27" s="1228"/>
      <c r="E27" s="1228"/>
      <c r="F27" s="1228"/>
      <c r="G27" s="1227">
        <f>SUM(G8:G26)</f>
        <v>171591.33</v>
      </c>
      <c r="H27" s="322"/>
      <c r="I27" s="323"/>
    </row>
    <row r="28" spans="1:9" ht="15" customHeight="1">
      <c r="A28" s="1253">
        <v>12</v>
      </c>
      <c r="B28" s="1043" t="s">
        <v>1051</v>
      </c>
      <c r="C28" s="1254"/>
      <c r="D28" s="1255"/>
      <c r="E28" s="1205">
        <v>0.09</v>
      </c>
      <c r="F28" s="1205"/>
      <c r="G28" s="1230">
        <f>G27*E28</f>
        <v>15443.219699999998</v>
      </c>
      <c r="H28" s="322"/>
      <c r="I28" s="323"/>
    </row>
    <row r="29" spans="1:7" ht="14.25">
      <c r="A29" s="1205">
        <v>13</v>
      </c>
      <c r="B29" s="1203" t="s">
        <v>36</v>
      </c>
      <c r="C29" s="1256"/>
      <c r="D29" s="1205" t="s">
        <v>1571</v>
      </c>
      <c r="E29" s="1257">
        <f>1664*1.27*1.0891*1.086275*1.1112*1.0685*1.06217</f>
        <v>3153.010200829536</v>
      </c>
      <c r="F29" s="1205">
        <v>0.9</v>
      </c>
      <c r="G29" s="1206">
        <f>F29*E29</f>
        <v>2837.7091807465827</v>
      </c>
    </row>
    <row r="30" spans="1:7" ht="14.25">
      <c r="A30" s="1205">
        <v>14</v>
      </c>
      <c r="B30" s="1203" t="s">
        <v>2126</v>
      </c>
      <c r="C30" s="1256"/>
      <c r="D30" s="1205" t="s">
        <v>83</v>
      </c>
      <c r="E30" s="1257">
        <f>1.1*1400*1.27*1.0891*1.086275*1.1112*1.0685*1.06217</f>
        <v>2918.0503060561823</v>
      </c>
      <c r="F30" s="1205">
        <v>1</v>
      </c>
      <c r="G30" s="1206">
        <f>F30*E30</f>
        <v>2918.0503060561823</v>
      </c>
    </row>
    <row r="31" spans="1:9" ht="18" customHeight="1">
      <c r="A31" s="1205">
        <v>15</v>
      </c>
      <c r="B31" s="1203" t="s">
        <v>1170</v>
      </c>
      <c r="C31" s="1205"/>
      <c r="D31" s="1205"/>
      <c r="E31" s="1202"/>
      <c r="F31" s="1202"/>
      <c r="G31" s="1230">
        <v>16105.32</v>
      </c>
      <c r="H31" s="292"/>
      <c r="I31" s="292"/>
    </row>
    <row r="32" spans="1:7" ht="30" customHeight="1">
      <c r="A32" s="926">
        <v>16</v>
      </c>
      <c r="B32" s="1203" t="s">
        <v>1171</v>
      </c>
      <c r="C32" s="926"/>
      <c r="D32" s="926"/>
      <c r="E32" s="1258"/>
      <c r="F32" s="925"/>
      <c r="G32" s="1206">
        <f>1.1*1.1*1912*1.2*1.1*1.1797*1.1402*0.9368*0.87</f>
        <v>3347.8496067241977</v>
      </c>
    </row>
    <row r="33" spans="1:8" ht="15">
      <c r="A33" s="1252">
        <v>17</v>
      </c>
      <c r="B33" s="1233" t="s">
        <v>1053</v>
      </c>
      <c r="C33" s="926"/>
      <c r="D33" s="926"/>
      <c r="E33" s="1258"/>
      <c r="F33" s="925"/>
      <c r="G33" s="1251">
        <f>G27+G28+G29+G30+G31+G32</f>
        <v>212243.47879352694</v>
      </c>
      <c r="H33" s="324"/>
    </row>
    <row r="34" spans="1:8" ht="33" customHeight="1">
      <c r="A34" s="926">
        <v>18</v>
      </c>
      <c r="B34" s="1043" t="s">
        <v>1054</v>
      </c>
      <c r="C34" s="926"/>
      <c r="D34" s="926"/>
      <c r="E34" s="1206">
        <v>0.11</v>
      </c>
      <c r="F34" s="925"/>
      <c r="G34" s="1206">
        <f>G27*E34</f>
        <v>18875.046299999998</v>
      </c>
      <c r="H34" s="324"/>
    </row>
    <row r="35" spans="1:7" ht="14.25">
      <c r="A35" s="1205">
        <v>19</v>
      </c>
      <c r="B35" s="1203" t="s">
        <v>1457</v>
      </c>
      <c r="C35" s="1205"/>
      <c r="D35" s="1205"/>
      <c r="E35" s="1202"/>
      <c r="F35" s="1202"/>
      <c r="G35" s="1230">
        <f>G33+G34</f>
        <v>231118.52509352693</v>
      </c>
    </row>
    <row r="36" spans="1:7" ht="17.25" customHeight="1">
      <c r="A36" s="135">
        <v>20</v>
      </c>
      <c r="B36" s="1259" t="s">
        <v>1458</v>
      </c>
      <c r="C36" s="628"/>
      <c r="D36" s="628"/>
      <c r="E36" s="1260"/>
      <c r="F36" s="1260"/>
      <c r="G36" s="860">
        <f>ROUND(G35,0)</f>
        <v>231119</v>
      </c>
    </row>
    <row r="37" spans="1:7" ht="13.5" customHeight="1">
      <c r="A37" s="244"/>
      <c r="B37" s="325"/>
      <c r="C37" s="326"/>
      <c r="D37" s="326"/>
      <c r="E37" s="327"/>
      <c r="F37" s="327"/>
      <c r="G37" s="328"/>
    </row>
    <row r="38" spans="1:8" ht="29.25" customHeight="1">
      <c r="A38" s="1578" t="s">
        <v>1172</v>
      </c>
      <c r="B38" s="1579"/>
      <c r="C38" s="1579"/>
      <c r="D38" s="1579"/>
      <c r="E38" s="1579"/>
      <c r="F38" s="1579"/>
      <c r="G38" s="1580"/>
      <c r="H38" s="294"/>
    </row>
    <row r="39" spans="2:4" ht="15.75" customHeight="1">
      <c r="B39" s="56"/>
      <c r="C39" s="283"/>
      <c r="D39" s="329"/>
    </row>
    <row r="40" ht="15" customHeight="1">
      <c r="A40" s="177"/>
    </row>
    <row r="41" spans="1:5" ht="16.5" customHeight="1">
      <c r="A41" s="317"/>
      <c r="B41" s="317"/>
      <c r="C41" s="317"/>
      <c r="D41" s="317"/>
      <c r="E41" s="317"/>
    </row>
    <row r="42" spans="1:5" ht="12.75" customHeight="1">
      <c r="A42" s="317"/>
      <c r="B42" s="317"/>
      <c r="C42" s="317"/>
      <c r="D42" s="317"/>
      <c r="E42" s="317"/>
    </row>
  </sheetData>
  <sheetProtection/>
  <mergeCells count="9">
    <mergeCell ref="A20:A26"/>
    <mergeCell ref="A38:G38"/>
    <mergeCell ref="B2:D2"/>
    <mergeCell ref="A4:G4"/>
    <mergeCell ref="A10:A12"/>
    <mergeCell ref="B1:D1"/>
    <mergeCell ref="F2:G2"/>
    <mergeCell ref="A3:G3"/>
    <mergeCell ref="A17:A18"/>
  </mergeCells>
  <printOptions horizontalCentered="1"/>
  <pageMargins left="1.03" right="0.17" top="0.67" bottom="0.19" header="0.61" footer="0.16"/>
  <pageSetup horizontalDpi="600" verticalDpi="600" orientation="landscape" paperSize="9" scale="125" r:id="rId2"/>
  <ignoredErrors>
    <ignoredError sqref="E10" formula="1"/>
  </ignoredErrors>
  <drawing r:id="rId1"/>
</worksheet>
</file>

<file path=xl/worksheets/sheet22.xml><?xml version="1.0" encoding="utf-8"?>
<worksheet xmlns="http://schemas.openxmlformats.org/spreadsheetml/2006/main" xmlns:r="http://schemas.openxmlformats.org/officeDocument/2006/relationships">
  <sheetPr>
    <tabColor indexed="35"/>
  </sheetPr>
  <dimension ref="A1:N36"/>
  <sheetViews>
    <sheetView zoomScalePageLayoutView="0" workbookViewId="0" topLeftCell="A1">
      <pane xSplit="3" ySplit="6" topLeftCell="D19" activePane="bottomRight" state="frozen"/>
      <selection pane="topLeft" activeCell="A1" sqref="A1"/>
      <selection pane="topRight" activeCell="D1" sqref="D1"/>
      <selection pane="bottomLeft" activeCell="A7" sqref="A7"/>
      <selection pane="bottomRight" activeCell="J16" sqref="J16"/>
    </sheetView>
  </sheetViews>
  <sheetFormatPr defaultColWidth="9.140625" defaultRowHeight="12.75"/>
  <cols>
    <col min="1" max="1" width="5.8515625" style="79" customWidth="1"/>
    <col min="2" max="2" width="3.57421875" style="2" customWidth="1"/>
    <col min="3" max="3" width="39.7109375" style="2" customWidth="1"/>
    <col min="4" max="4" width="12.57421875" style="18" customWidth="1"/>
    <col min="5" max="5" width="5.7109375" style="330" customWidth="1"/>
    <col min="6" max="6" width="11.00390625" style="2" customWidth="1"/>
    <col min="7" max="7" width="5.00390625" style="2" customWidth="1"/>
    <col min="8" max="8" width="11.7109375" style="2" customWidth="1"/>
    <col min="9" max="9" width="13.57421875" style="2" customWidth="1"/>
    <col min="10" max="10" width="9.8515625" style="2" customWidth="1"/>
    <col min="11" max="11" width="8.57421875" style="2" customWidth="1"/>
    <col min="12" max="12" width="50.57421875" style="2" bestFit="1" customWidth="1"/>
    <col min="13" max="13" width="14.28125" style="2" customWidth="1"/>
    <col min="14" max="14" width="5.7109375" style="2" bestFit="1" customWidth="1"/>
    <col min="15" max="15" width="9.57421875" style="2" bestFit="1" customWidth="1"/>
    <col min="16" max="16" width="5.57421875" style="2" bestFit="1" customWidth="1"/>
    <col min="17" max="17" width="12.7109375" style="2" customWidth="1"/>
    <col min="18" max="18" width="9.140625" style="2" customWidth="1"/>
    <col min="19" max="19" width="25.140625" style="2" customWidth="1"/>
    <col min="20" max="16384" width="9.140625" style="2" customWidth="1"/>
  </cols>
  <sheetData>
    <row r="1" spans="2:8" ht="18">
      <c r="B1" s="126"/>
      <c r="C1" s="1400" t="s">
        <v>1173</v>
      </c>
      <c r="D1" s="1400"/>
      <c r="E1" s="1400"/>
      <c r="F1" s="126"/>
      <c r="G1" s="126"/>
      <c r="H1" s="126"/>
    </row>
    <row r="2" spans="1:8" ht="12.75" customHeight="1">
      <c r="A2" s="331"/>
      <c r="B2" s="331"/>
      <c r="C2" s="331"/>
      <c r="D2" s="331"/>
      <c r="E2" s="331"/>
      <c r="F2" s="331"/>
      <c r="G2" s="331"/>
      <c r="H2" s="430" t="s">
        <v>244</v>
      </c>
    </row>
    <row r="3" spans="2:8" ht="15.75">
      <c r="B3" s="248"/>
      <c r="C3" s="1581" t="s">
        <v>1174</v>
      </c>
      <c r="D3" s="1581"/>
      <c r="E3" s="1581"/>
      <c r="F3" s="248"/>
      <c r="G3" s="248"/>
      <c r="H3" s="248"/>
    </row>
    <row r="4" spans="1:8" ht="6.75" customHeight="1">
      <c r="A4" s="76"/>
      <c r="B4" s="76"/>
      <c r="C4" s="76"/>
      <c r="D4" s="76"/>
      <c r="E4" s="76"/>
      <c r="F4" s="76"/>
      <c r="G4" s="76"/>
      <c r="H4" s="76"/>
    </row>
    <row r="5" spans="1:8" ht="27" customHeight="1">
      <c r="A5" s="244" t="s">
        <v>2104</v>
      </c>
      <c r="B5" s="1587" t="s">
        <v>79</v>
      </c>
      <c r="C5" s="1588"/>
      <c r="D5" s="332" t="s">
        <v>88</v>
      </c>
      <c r="E5" s="244" t="s">
        <v>80</v>
      </c>
      <c r="F5" s="244" t="s">
        <v>1326</v>
      </c>
      <c r="G5" s="244" t="s">
        <v>1462</v>
      </c>
      <c r="H5" s="244" t="s">
        <v>1327</v>
      </c>
    </row>
    <row r="6" spans="1:8" ht="12.75">
      <c r="A6" s="245">
        <v>1</v>
      </c>
      <c r="B6" s="1564">
        <v>2</v>
      </c>
      <c r="C6" s="1565"/>
      <c r="D6" s="245">
        <v>3</v>
      </c>
      <c r="E6" s="245">
        <v>4</v>
      </c>
      <c r="F6" s="245">
        <v>5</v>
      </c>
      <c r="G6" s="245">
        <v>6</v>
      </c>
      <c r="H6" s="245">
        <v>7</v>
      </c>
    </row>
    <row r="7" spans="1:8" ht="12.75">
      <c r="A7" s="1529">
        <v>1</v>
      </c>
      <c r="B7" s="787"/>
      <c r="C7" s="1261" t="s">
        <v>1617</v>
      </c>
      <c r="D7" s="1262"/>
      <c r="E7" s="1000" t="s">
        <v>83</v>
      </c>
      <c r="F7" s="1263">
        <f>H8+H9+H10</f>
        <v>323816</v>
      </c>
      <c r="G7" s="1000">
        <v>1</v>
      </c>
      <c r="H7" s="1264"/>
    </row>
    <row r="8" spans="1:8" ht="12.75">
      <c r="A8" s="1530"/>
      <c r="B8" s="1000" t="s">
        <v>1700</v>
      </c>
      <c r="C8" s="632" t="s">
        <v>1618</v>
      </c>
      <c r="D8" s="1094">
        <v>7131943380</v>
      </c>
      <c r="E8" s="1000" t="s">
        <v>83</v>
      </c>
      <c r="F8" s="1095">
        <f>VLOOKUP(D8,'SOR RATE'!A:D,4,0)</f>
        <v>223902</v>
      </c>
      <c r="G8" s="1000">
        <v>1</v>
      </c>
      <c r="H8" s="1095">
        <f>G8*F8</f>
        <v>223902</v>
      </c>
    </row>
    <row r="9" spans="1:12" ht="14.25">
      <c r="A9" s="1530"/>
      <c r="B9" s="1000" t="s">
        <v>5</v>
      </c>
      <c r="C9" s="632" t="s">
        <v>1619</v>
      </c>
      <c r="D9" s="1094">
        <v>7131960524</v>
      </c>
      <c r="E9" s="1000" t="s">
        <v>83</v>
      </c>
      <c r="F9" s="1095">
        <f>VLOOKUP(D9,'SOR RATE'!A:D,4,0)</f>
        <v>39815</v>
      </c>
      <c r="G9" s="1000">
        <v>1</v>
      </c>
      <c r="H9" s="1095">
        <f>G9*F9</f>
        <v>39815</v>
      </c>
      <c r="L9" s="371"/>
    </row>
    <row r="10" spans="1:8" ht="12.75">
      <c r="A10" s="1530"/>
      <c r="B10" s="1000" t="s">
        <v>7</v>
      </c>
      <c r="C10" s="632" t="s">
        <v>1620</v>
      </c>
      <c r="D10" s="1094">
        <v>7132230263</v>
      </c>
      <c r="E10" s="1000" t="s">
        <v>83</v>
      </c>
      <c r="F10" s="1095">
        <f>VLOOKUP(D10,'SOR RATE'!A:D,4,0)</f>
        <v>20033</v>
      </c>
      <c r="G10" s="1000">
        <v>3</v>
      </c>
      <c r="H10" s="1095">
        <f>G10*F10</f>
        <v>60099</v>
      </c>
    </row>
    <row r="11" spans="1:10" ht="12.75">
      <c r="A11" s="1531"/>
      <c r="B11" s="1000" t="s">
        <v>9</v>
      </c>
      <c r="C11" s="236" t="s">
        <v>1775</v>
      </c>
      <c r="D11" s="1265">
        <v>7130352046</v>
      </c>
      <c r="E11" s="1266" t="s">
        <v>83</v>
      </c>
      <c r="F11" s="1095">
        <f>VLOOKUP(D11,'SOR RATE'!A:D,4,0)</f>
        <v>3115</v>
      </c>
      <c r="G11" s="1000">
        <v>1</v>
      </c>
      <c r="H11" s="1095">
        <f>G11*F11</f>
        <v>3115</v>
      </c>
      <c r="I11" s="205"/>
      <c r="J11" s="104"/>
    </row>
    <row r="12" spans="1:8" ht="12.75">
      <c r="A12" s="1529">
        <v>2</v>
      </c>
      <c r="B12" s="779"/>
      <c r="C12" s="1267" t="s">
        <v>1621</v>
      </c>
      <c r="D12" s="1089"/>
      <c r="E12" s="242" t="s">
        <v>1571</v>
      </c>
      <c r="F12" s="1085"/>
      <c r="G12" s="245">
        <v>7</v>
      </c>
      <c r="H12" s="1085"/>
    </row>
    <row r="13" spans="1:8" ht="12.75">
      <c r="A13" s="1531"/>
      <c r="B13" s="242" t="s">
        <v>1700</v>
      </c>
      <c r="C13" s="1268" t="s">
        <v>1622</v>
      </c>
      <c r="D13" s="1089">
        <v>7130200401</v>
      </c>
      <c r="E13" s="242" t="s">
        <v>1576</v>
      </c>
      <c r="F13" s="1085">
        <f>VLOOKUP(D13,'SOR RATE'!A:D,4,0)/50</f>
        <v>4.9</v>
      </c>
      <c r="G13" s="242">
        <v>1456</v>
      </c>
      <c r="H13" s="1085">
        <f>G13*F13</f>
        <v>7134.400000000001</v>
      </c>
    </row>
    <row r="14" spans="1:8" ht="12.75">
      <c r="A14" s="1484">
        <v>3</v>
      </c>
      <c r="B14" s="779"/>
      <c r="C14" s="1267" t="s">
        <v>1623</v>
      </c>
      <c r="D14" s="1269"/>
      <c r="E14" s="1270"/>
      <c r="F14" s="1270"/>
      <c r="G14" s="1270"/>
      <c r="H14" s="1271"/>
    </row>
    <row r="15" spans="1:8" ht="12.75">
      <c r="A15" s="1586"/>
      <c r="B15" s="230" t="s">
        <v>1788</v>
      </c>
      <c r="C15" s="1272" t="s">
        <v>1789</v>
      </c>
      <c r="D15" s="1089">
        <v>7130310658</v>
      </c>
      <c r="E15" s="242" t="s">
        <v>1721</v>
      </c>
      <c r="F15" s="1085">
        <f>VLOOKUP(D15,'SOR RATE'!A:D,4,0)/1000</f>
        <v>106.359</v>
      </c>
      <c r="G15" s="242">
        <v>60</v>
      </c>
      <c r="H15" s="1085">
        <f>G15*F15</f>
        <v>6381.54</v>
      </c>
    </row>
    <row r="16" spans="1:8" ht="12.75">
      <c r="A16" s="1586"/>
      <c r="B16" s="230" t="s">
        <v>1790</v>
      </c>
      <c r="C16" s="1272" t="s">
        <v>1791</v>
      </c>
      <c r="D16" s="1089">
        <v>7130310654</v>
      </c>
      <c r="E16" s="242" t="s">
        <v>1721</v>
      </c>
      <c r="F16" s="1085">
        <f>VLOOKUP(D16,'SOR RATE'!A:D,4,0)/1000</f>
        <v>58.843</v>
      </c>
      <c r="G16" s="242">
        <v>120</v>
      </c>
      <c r="H16" s="1085">
        <f>G16*F16</f>
        <v>7061.160000000001</v>
      </c>
    </row>
    <row r="17" spans="1:8" ht="12.75">
      <c r="A17" s="1485"/>
      <c r="B17" s="230" t="s">
        <v>1764</v>
      </c>
      <c r="C17" s="1272" t="s">
        <v>29</v>
      </c>
      <c r="D17" s="1089">
        <v>7130310652</v>
      </c>
      <c r="E17" s="242" t="s">
        <v>1721</v>
      </c>
      <c r="F17" s="1085">
        <f>VLOOKUP(D17,'SOR RATE'!A:D,4,0)/1000</f>
        <v>35.395</v>
      </c>
      <c r="G17" s="242">
        <v>60</v>
      </c>
      <c r="H17" s="1085">
        <f>G17*F17</f>
        <v>2123.7000000000003</v>
      </c>
    </row>
    <row r="18" spans="1:8" ht="12.75">
      <c r="A18" s="242">
        <v>4</v>
      </c>
      <c r="B18" s="779"/>
      <c r="C18" s="1272" t="s">
        <v>1624</v>
      </c>
      <c r="D18" s="1089">
        <v>7130830585</v>
      </c>
      <c r="E18" s="1123" t="s">
        <v>83</v>
      </c>
      <c r="F18" s="1085">
        <f>VLOOKUP(D18,'SOR RATE'!A:D,4,0)</f>
        <v>223</v>
      </c>
      <c r="G18" s="242">
        <v>6</v>
      </c>
      <c r="H18" s="1085">
        <f>G18*F18</f>
        <v>1338</v>
      </c>
    </row>
    <row r="19" spans="1:8" ht="12.75">
      <c r="A19" s="242">
        <v>5</v>
      </c>
      <c r="B19" s="779"/>
      <c r="C19" s="1272" t="s">
        <v>1625</v>
      </c>
      <c r="D19" s="1089">
        <v>7130830585</v>
      </c>
      <c r="E19" s="1123" t="s">
        <v>83</v>
      </c>
      <c r="F19" s="1085">
        <f>VLOOKUP(D19,'SOR RATE'!A:D,4,0)</f>
        <v>223</v>
      </c>
      <c r="G19" s="242">
        <v>6</v>
      </c>
      <c r="H19" s="1085">
        <f>G19*F19</f>
        <v>1338</v>
      </c>
    </row>
    <row r="20" spans="1:10" ht="15" customHeight="1">
      <c r="A20" s="245">
        <v>6</v>
      </c>
      <c r="B20" s="1073"/>
      <c r="C20" s="1185" t="s">
        <v>1052</v>
      </c>
      <c r="D20" s="1273"/>
      <c r="E20" s="630"/>
      <c r="F20" s="245"/>
      <c r="G20" s="245"/>
      <c r="H20" s="973">
        <f>SUM(H8:H19)</f>
        <v>352307.8</v>
      </c>
      <c r="I20" s="322"/>
      <c r="J20" s="323"/>
    </row>
    <row r="21" spans="1:10" ht="15.75" customHeight="1">
      <c r="A21" s="242">
        <v>7</v>
      </c>
      <c r="B21" s="779"/>
      <c r="C21" s="1157" t="s">
        <v>1051</v>
      </c>
      <c r="D21" s="1273"/>
      <c r="E21" s="1123"/>
      <c r="F21" s="239">
        <v>0.09</v>
      </c>
      <c r="G21" s="239"/>
      <c r="H21" s="240">
        <f>H20*F21</f>
        <v>31707.701999999997</v>
      </c>
      <c r="I21" s="322"/>
      <c r="J21" s="323"/>
    </row>
    <row r="22" spans="1:8" ht="12.75">
      <c r="A22" s="242">
        <v>8</v>
      </c>
      <c r="B22" s="779"/>
      <c r="C22" s="1272" t="s">
        <v>1626</v>
      </c>
      <c r="D22" s="1273"/>
      <c r="E22" s="1123" t="s">
        <v>1571</v>
      </c>
      <c r="F22" s="1085">
        <f>1664*1.27*1.0891*1.086275*1.1112*1.0685*1.06217</f>
        <v>3153.010200829536</v>
      </c>
      <c r="G22" s="242">
        <v>7</v>
      </c>
      <c r="H22" s="1085">
        <f>G22*F22</f>
        <v>22071.071405806753</v>
      </c>
    </row>
    <row r="23" spans="1:12" ht="14.25" customHeight="1">
      <c r="A23" s="242">
        <v>9</v>
      </c>
      <c r="B23" s="779"/>
      <c r="C23" s="966" t="s">
        <v>234</v>
      </c>
      <c r="D23" s="1273"/>
      <c r="E23" s="1123"/>
      <c r="F23" s="1085"/>
      <c r="G23" s="242"/>
      <c r="H23" s="240">
        <v>6092.66</v>
      </c>
      <c r="I23" s="333"/>
      <c r="J23" s="203"/>
      <c r="K23" s="203"/>
      <c r="L23" s="334"/>
    </row>
    <row r="24" spans="1:14" ht="15.75">
      <c r="A24" s="239">
        <v>10</v>
      </c>
      <c r="B24" s="779"/>
      <c r="C24" s="965" t="s">
        <v>235</v>
      </c>
      <c r="D24" s="1274"/>
      <c r="E24" s="1275"/>
      <c r="F24" s="239"/>
      <c r="G24" s="239"/>
      <c r="H24" s="240">
        <f>6166.52*1.1402*0.9368*0.87</f>
        <v>5730.431371817665</v>
      </c>
      <c r="I24" s="335"/>
      <c r="J24" s="44"/>
      <c r="K24" s="44"/>
      <c r="L24" s="44"/>
      <c r="M24" s="44"/>
      <c r="N24" s="44"/>
    </row>
    <row r="25" spans="1:14" ht="15.75">
      <c r="A25" s="244">
        <v>11</v>
      </c>
      <c r="B25" s="779"/>
      <c r="C25" s="1185" t="s">
        <v>1053</v>
      </c>
      <c r="D25" s="1273"/>
      <c r="E25" s="1123"/>
      <c r="F25" s="242"/>
      <c r="G25" s="242"/>
      <c r="H25" s="973">
        <f>H20+H21+H22+H23+H24</f>
        <v>417909.66477762436</v>
      </c>
      <c r="I25" s="324"/>
      <c r="J25" s="155"/>
      <c r="K25" s="155"/>
      <c r="L25" s="155"/>
      <c r="M25" s="155"/>
      <c r="N25" s="155"/>
    </row>
    <row r="26" spans="1:14" ht="30" customHeight="1">
      <c r="A26" s="239">
        <v>12</v>
      </c>
      <c r="B26" s="779"/>
      <c r="C26" s="1157" t="s">
        <v>1054</v>
      </c>
      <c r="D26" s="1273"/>
      <c r="E26" s="1123"/>
      <c r="F26" s="239">
        <v>0.11</v>
      </c>
      <c r="G26" s="239"/>
      <c r="H26" s="240">
        <f>H20*F26</f>
        <v>38753.858</v>
      </c>
      <c r="I26" s="324"/>
      <c r="J26" s="155"/>
      <c r="K26" s="155"/>
      <c r="L26" s="155"/>
      <c r="M26" s="155"/>
      <c r="N26" s="155"/>
    </row>
    <row r="27" spans="1:8" ht="12.75">
      <c r="A27" s="239">
        <v>13</v>
      </c>
      <c r="B27" s="779"/>
      <c r="C27" s="1272" t="s">
        <v>236</v>
      </c>
      <c r="D27" s="1273"/>
      <c r="E27" s="1123"/>
      <c r="F27" s="239"/>
      <c r="G27" s="239"/>
      <c r="H27" s="240">
        <f>H25+H26</f>
        <v>456663.52277762437</v>
      </c>
    </row>
    <row r="28" spans="1:8" ht="16.5" customHeight="1">
      <c r="A28" s="1065">
        <v>14</v>
      </c>
      <c r="B28" s="1276"/>
      <c r="C28" s="1277" t="s">
        <v>237</v>
      </c>
      <c r="D28" s="1278"/>
      <c r="E28" s="1065"/>
      <c r="F28" s="1065"/>
      <c r="G28" s="1065"/>
      <c r="H28" s="1066">
        <f>ROUND(H27,0)</f>
        <v>456664</v>
      </c>
    </row>
    <row r="30" spans="1:3" ht="15">
      <c r="A30" s="317"/>
      <c r="B30" s="317"/>
      <c r="C30" s="317"/>
    </row>
    <row r="31" ht="12.75">
      <c r="A31" s="177"/>
    </row>
    <row r="32" spans="1:14" ht="12.75" customHeight="1">
      <c r="A32" s="177"/>
      <c r="K32" s="317"/>
      <c r="L32" s="317"/>
      <c r="M32" s="317"/>
      <c r="N32" s="317"/>
    </row>
    <row r="33" spans="1:14" ht="12.75" customHeight="1">
      <c r="A33" s="177"/>
      <c r="J33" s="317"/>
      <c r="K33" s="317"/>
      <c r="L33" s="317"/>
      <c r="M33" s="317"/>
      <c r="N33" s="317"/>
    </row>
    <row r="34" ht="12.75">
      <c r="A34" s="177"/>
    </row>
    <row r="35" ht="12.75">
      <c r="A35" s="177"/>
    </row>
    <row r="36" ht="12.75">
      <c r="A36" s="177"/>
    </row>
  </sheetData>
  <sheetProtection/>
  <mergeCells count="7">
    <mergeCell ref="A14:A17"/>
    <mergeCell ref="C1:E1"/>
    <mergeCell ref="C3:E3"/>
    <mergeCell ref="B5:C5"/>
    <mergeCell ref="B6:C6"/>
    <mergeCell ref="A7:A11"/>
    <mergeCell ref="A12:A13"/>
  </mergeCells>
  <printOptions horizontalCentered="1"/>
  <pageMargins left="1" right="0.19" top="0.7" bottom="0.22" header="0.5" footer="0.16"/>
  <pageSetup horizontalDpi="600" verticalDpi="600" orientation="landscape" paperSize="9" scale="130" r:id="rId2"/>
  <drawing r:id="rId1"/>
</worksheet>
</file>

<file path=xl/worksheets/sheet23.xml><?xml version="1.0" encoding="utf-8"?>
<worksheet xmlns="http://schemas.openxmlformats.org/spreadsheetml/2006/main" xmlns:r="http://schemas.openxmlformats.org/officeDocument/2006/relationships">
  <sheetPr>
    <tabColor indexed="15"/>
  </sheetPr>
  <dimension ref="A1:N39"/>
  <sheetViews>
    <sheetView zoomScaleSheetLayoutView="85" zoomScalePageLayoutView="0" workbookViewId="0" topLeftCell="A1">
      <pane xSplit="1" ySplit="9" topLeftCell="B46" activePane="bottomRight" state="frozen"/>
      <selection pane="topLeft" activeCell="A1" sqref="A1"/>
      <selection pane="topRight" activeCell="B1" sqref="B1"/>
      <selection pane="bottomLeft" activeCell="A8" sqref="A8"/>
      <selection pane="bottomRight" activeCell="L31" sqref="L31"/>
    </sheetView>
  </sheetViews>
  <sheetFormatPr defaultColWidth="9.140625" defaultRowHeight="12.75"/>
  <cols>
    <col min="1" max="1" width="4.140625" style="57" customWidth="1"/>
    <col min="2" max="2" width="43.28125" style="57" customWidth="1"/>
    <col min="3" max="3" width="15.140625" style="358" customWidth="1"/>
    <col min="4" max="4" width="5.28125" style="57" customWidth="1"/>
    <col min="5" max="5" width="10.7109375" style="57" bestFit="1" customWidth="1"/>
    <col min="6" max="6" width="7.00390625" style="57" customWidth="1"/>
    <col min="7" max="7" width="12.421875" style="57" customWidth="1"/>
    <col min="8" max="8" width="6.00390625" style="57" customWidth="1"/>
    <col min="9" max="9" width="11.8515625" style="57" customWidth="1"/>
    <col min="10" max="10" width="7.00390625" style="57" customWidth="1"/>
    <col min="11" max="11" width="11.7109375" style="57" customWidth="1"/>
    <col min="12" max="12" width="37.140625" style="57" customWidth="1"/>
    <col min="13" max="16384" width="9.140625" style="57" customWidth="1"/>
  </cols>
  <sheetData>
    <row r="1" spans="2:11" s="308" customFormat="1" ht="18">
      <c r="B1" s="80"/>
      <c r="C1" s="1486" t="s">
        <v>238</v>
      </c>
      <c r="D1" s="1486"/>
      <c r="E1" s="1486"/>
      <c r="F1" s="1486"/>
      <c r="G1" s="1486"/>
      <c r="H1" s="80"/>
      <c r="I1" s="80"/>
      <c r="J1" s="80"/>
      <c r="K1" s="80"/>
    </row>
    <row r="2" spans="1:11" s="308" customFormat="1" ht="18">
      <c r="A2" s="81"/>
      <c r="B2" s="81"/>
      <c r="C2" s="81"/>
      <c r="D2" s="81"/>
      <c r="E2" s="81"/>
      <c r="F2" s="81"/>
      <c r="G2" s="81"/>
      <c r="H2" s="81"/>
      <c r="I2" s="81"/>
      <c r="J2" s="81"/>
      <c r="K2" s="81"/>
    </row>
    <row r="3" spans="1:11" s="340" customFormat="1" ht="15.75">
      <c r="A3" s="1581" t="s">
        <v>1266</v>
      </c>
      <c r="B3" s="1581"/>
      <c r="C3" s="1581"/>
      <c r="D3" s="1581"/>
      <c r="E3" s="1581"/>
      <c r="F3" s="1581"/>
      <c r="G3" s="1581"/>
      <c r="H3" s="1581"/>
      <c r="I3" s="1581"/>
      <c r="J3" s="1581"/>
      <c r="K3" s="1581"/>
    </row>
    <row r="4" spans="1:11" s="340" customFormat="1" ht="15.75">
      <c r="A4" s="152"/>
      <c r="B4" s="152"/>
      <c r="C4" s="152"/>
      <c r="D4" s="152"/>
      <c r="E4" s="152"/>
      <c r="F4" s="152"/>
      <c r="G4" s="152"/>
      <c r="H4" s="152"/>
      <c r="I4" s="152"/>
      <c r="J4" s="152"/>
      <c r="K4" s="152"/>
    </row>
    <row r="5" spans="1:12" s="340" customFormat="1" ht="15">
      <c r="A5" s="311"/>
      <c r="B5" s="311"/>
      <c r="C5" s="311"/>
      <c r="D5" s="311"/>
      <c r="E5" s="311"/>
      <c r="F5" s="311"/>
      <c r="G5" s="311"/>
      <c r="H5" s="311"/>
      <c r="I5" s="311"/>
      <c r="J5" s="311"/>
      <c r="K5" s="430" t="s">
        <v>244</v>
      </c>
      <c r="L5" s="341"/>
    </row>
    <row r="6" spans="1:12" s="340" customFormat="1" ht="12.75">
      <c r="A6" s="311"/>
      <c r="B6" s="311"/>
      <c r="C6" s="311"/>
      <c r="D6" s="311"/>
      <c r="E6" s="311"/>
      <c r="F6" s="311"/>
      <c r="G6" s="311"/>
      <c r="H6" s="311"/>
      <c r="I6" s="311"/>
      <c r="J6" s="311"/>
      <c r="K6" s="311"/>
      <c r="L6" s="341"/>
    </row>
    <row r="7" spans="1:11" ht="25.5" customHeight="1">
      <c r="A7" s="1596" t="s">
        <v>2104</v>
      </c>
      <c r="B7" s="1598" t="s">
        <v>79</v>
      </c>
      <c r="C7" s="1599" t="s">
        <v>88</v>
      </c>
      <c r="D7" s="1598" t="s">
        <v>80</v>
      </c>
      <c r="E7" s="1598" t="s">
        <v>1326</v>
      </c>
      <c r="F7" s="1549" t="s">
        <v>1267</v>
      </c>
      <c r="G7" s="1549"/>
      <c r="H7" s="1549" t="s">
        <v>1268</v>
      </c>
      <c r="I7" s="1549"/>
      <c r="J7" s="1549" t="s">
        <v>701</v>
      </c>
      <c r="K7" s="1549"/>
    </row>
    <row r="8" spans="1:11" ht="12.75">
      <c r="A8" s="1597"/>
      <c r="B8" s="1570"/>
      <c r="C8" s="1600"/>
      <c r="D8" s="1570"/>
      <c r="E8" s="1570"/>
      <c r="F8" s="343" t="s">
        <v>82</v>
      </c>
      <c r="G8" s="344" t="s">
        <v>2047</v>
      </c>
      <c r="H8" s="342" t="s">
        <v>82</v>
      </c>
      <c r="I8" s="344" t="s">
        <v>2047</v>
      </c>
      <c r="J8" s="244" t="s">
        <v>82</v>
      </c>
      <c r="K8" s="244" t="s">
        <v>2047</v>
      </c>
    </row>
    <row r="9" spans="1:14" ht="12.75">
      <c r="A9" s="245">
        <v>1</v>
      </c>
      <c r="B9" s="245">
        <v>2</v>
      </c>
      <c r="C9" s="245">
        <v>3</v>
      </c>
      <c r="D9" s="245">
        <v>4</v>
      </c>
      <c r="E9" s="245">
        <v>5</v>
      </c>
      <c r="F9" s="245">
        <v>6</v>
      </c>
      <c r="G9" s="245">
        <v>7</v>
      </c>
      <c r="H9" s="245">
        <v>8</v>
      </c>
      <c r="I9" s="245">
        <v>9</v>
      </c>
      <c r="J9" s="245">
        <v>10</v>
      </c>
      <c r="K9" s="245">
        <v>11</v>
      </c>
      <c r="N9" s="345"/>
    </row>
    <row r="10" spans="1:11" ht="12.75">
      <c r="A10" s="1279">
        <v>1</v>
      </c>
      <c r="B10" s="816" t="s">
        <v>702</v>
      </c>
      <c r="C10" s="1100">
        <v>7132220095</v>
      </c>
      <c r="D10" s="969" t="s">
        <v>83</v>
      </c>
      <c r="E10" s="240">
        <f>VLOOKUP(C10,'SOR RATE'!A:D,4,0)</f>
        <v>2033847</v>
      </c>
      <c r="F10" s="969">
        <v>1</v>
      </c>
      <c r="G10" s="976">
        <f>F10*E10</f>
        <v>2033847</v>
      </c>
      <c r="H10" s="1280" t="s">
        <v>1570</v>
      </c>
      <c r="I10" s="1280" t="s">
        <v>1570</v>
      </c>
      <c r="J10" s="1280" t="s">
        <v>1570</v>
      </c>
      <c r="K10" s="1280" t="s">
        <v>1570</v>
      </c>
    </row>
    <row r="11" spans="1:11" ht="12.75">
      <c r="A11" s="1279">
        <v>2</v>
      </c>
      <c r="B11" s="816" t="s">
        <v>703</v>
      </c>
      <c r="C11" s="1100">
        <v>7132220097</v>
      </c>
      <c r="D11" s="969" t="s">
        <v>83</v>
      </c>
      <c r="E11" s="240">
        <f>VLOOKUP(C11,'SOR RATE'!A:D,4,0)</f>
        <v>2898351</v>
      </c>
      <c r="F11" s="1280" t="s">
        <v>1570</v>
      </c>
      <c r="G11" s="1280" t="s">
        <v>1570</v>
      </c>
      <c r="H11" s="969">
        <v>1</v>
      </c>
      <c r="I11" s="976">
        <f>H11*E11</f>
        <v>2898351</v>
      </c>
      <c r="J11" s="969">
        <v>1</v>
      </c>
      <c r="K11" s="976">
        <f>J11*E11</f>
        <v>2898351</v>
      </c>
    </row>
    <row r="12" spans="1:11" ht="12.75">
      <c r="A12" s="1589">
        <v>3</v>
      </c>
      <c r="B12" s="1281" t="s">
        <v>704</v>
      </c>
      <c r="C12" s="1100"/>
      <c r="D12" s="969" t="s">
        <v>83</v>
      </c>
      <c r="E12" s="240"/>
      <c r="F12" s="1280">
        <v>1</v>
      </c>
      <c r="G12" s="1282"/>
      <c r="H12" s="1280" t="s">
        <v>1570</v>
      </c>
      <c r="I12" s="1282" t="s">
        <v>1570</v>
      </c>
      <c r="J12" s="969">
        <v>1</v>
      </c>
      <c r="K12" s="976"/>
    </row>
    <row r="13" spans="1:11" ht="12.75">
      <c r="A13" s="1590"/>
      <c r="B13" s="1283" t="s">
        <v>705</v>
      </c>
      <c r="C13" s="1100">
        <v>7131943380</v>
      </c>
      <c r="D13" s="968" t="s">
        <v>83</v>
      </c>
      <c r="E13" s="240">
        <f>VLOOKUP(C13,'SOR RATE'!A:D,4,0)</f>
        <v>223902</v>
      </c>
      <c r="F13" s="1280">
        <v>1</v>
      </c>
      <c r="G13" s="1282">
        <f>F13*E13</f>
        <v>223902</v>
      </c>
      <c r="H13" s="1280"/>
      <c r="I13" s="1282"/>
      <c r="J13" s="1280">
        <v>1</v>
      </c>
      <c r="K13" s="976">
        <f>J13*G13</f>
        <v>223902</v>
      </c>
    </row>
    <row r="14" spans="1:12" ht="14.25">
      <c r="A14" s="1590"/>
      <c r="B14" s="1283" t="s">
        <v>915</v>
      </c>
      <c r="C14" s="1100">
        <v>7131960524</v>
      </c>
      <c r="D14" s="968" t="s">
        <v>83</v>
      </c>
      <c r="E14" s="240">
        <f>VLOOKUP(C14,'SOR RATE'!A:D,4,0)</f>
        <v>39815</v>
      </c>
      <c r="F14" s="1280">
        <v>1</v>
      </c>
      <c r="G14" s="1282">
        <f>F14*E14</f>
        <v>39815</v>
      </c>
      <c r="H14" s="1280"/>
      <c r="I14" s="1282"/>
      <c r="J14" s="1280">
        <v>1</v>
      </c>
      <c r="K14" s="976">
        <f>J14*G14</f>
        <v>39815</v>
      </c>
      <c r="L14" s="371"/>
    </row>
    <row r="15" spans="1:11" ht="12.75">
      <c r="A15" s="1591"/>
      <c r="B15" s="1283" t="s">
        <v>706</v>
      </c>
      <c r="C15" s="1100">
        <v>7132230263</v>
      </c>
      <c r="D15" s="968" t="s">
        <v>83</v>
      </c>
      <c r="E15" s="240">
        <f>VLOOKUP(C15,'SOR RATE'!A:D,4,0)</f>
        <v>20033</v>
      </c>
      <c r="F15" s="968">
        <v>3</v>
      </c>
      <c r="G15" s="1282">
        <f>F15*E15</f>
        <v>60099</v>
      </c>
      <c r="H15" s="1280"/>
      <c r="I15" s="1282"/>
      <c r="J15" s="968">
        <v>3</v>
      </c>
      <c r="K15" s="976">
        <f>J15*E15</f>
        <v>60099</v>
      </c>
    </row>
    <row r="16" spans="1:11" ht="12.75">
      <c r="A16" s="1592">
        <v>4</v>
      </c>
      <c r="B16" s="1281" t="s">
        <v>707</v>
      </c>
      <c r="C16" s="1100"/>
      <c r="D16" s="969" t="s">
        <v>1571</v>
      </c>
      <c r="E16" s="240"/>
      <c r="F16" s="1280" t="s">
        <v>1570</v>
      </c>
      <c r="G16" s="1282" t="s">
        <v>1570</v>
      </c>
      <c r="H16" s="1280" t="s">
        <v>1570</v>
      </c>
      <c r="I16" s="1282" t="s">
        <v>1570</v>
      </c>
      <c r="J16" s="244">
        <v>7</v>
      </c>
      <c r="K16" s="976"/>
    </row>
    <row r="17" spans="1:11" s="346" customFormat="1" ht="12.75">
      <c r="A17" s="1593"/>
      <c r="B17" s="1284" t="s">
        <v>171</v>
      </c>
      <c r="C17" s="1100">
        <v>7130200401</v>
      </c>
      <c r="D17" s="1285" t="s">
        <v>1576</v>
      </c>
      <c r="E17" s="240">
        <f>VLOOKUP(C17,'SOR RATE'!A:D,4,0)/50</f>
        <v>4.9</v>
      </c>
      <c r="F17" s="969"/>
      <c r="G17" s="969"/>
      <c r="H17" s="969"/>
      <c r="I17" s="969"/>
      <c r="J17" s="969">
        <v>1456</v>
      </c>
      <c r="K17" s="976">
        <f>J17*E17</f>
        <v>7134.400000000001</v>
      </c>
    </row>
    <row r="18" spans="1:11" s="346" customFormat="1" ht="12.75">
      <c r="A18" s="1286">
        <v>5</v>
      </c>
      <c r="B18" s="1287" t="s">
        <v>28</v>
      </c>
      <c r="C18" s="1269"/>
      <c r="D18" s="1270"/>
      <c r="E18" s="1270"/>
      <c r="F18" s="1270"/>
      <c r="G18" s="1270"/>
      <c r="H18" s="1270"/>
      <c r="I18" s="1270"/>
      <c r="J18" s="1270"/>
      <c r="K18" s="1271"/>
    </row>
    <row r="19" spans="1:11" ht="12.75">
      <c r="A19" s="1105" t="s">
        <v>1788</v>
      </c>
      <c r="B19" s="236" t="s">
        <v>1789</v>
      </c>
      <c r="C19" s="1100">
        <v>7130310658</v>
      </c>
      <c r="D19" s="969" t="s">
        <v>1721</v>
      </c>
      <c r="E19" s="240">
        <f>VLOOKUP(C19,'SOR RATE'!A:D,4,0)/1000</f>
        <v>106.359</v>
      </c>
      <c r="F19" s="1280">
        <v>60</v>
      </c>
      <c r="G19" s="1282">
        <f>F19*E19</f>
        <v>6381.54</v>
      </c>
      <c r="H19" s="1280">
        <v>60</v>
      </c>
      <c r="I19" s="1282">
        <f>H19*E19</f>
        <v>6381.54</v>
      </c>
      <c r="J19" s="969">
        <v>60</v>
      </c>
      <c r="K19" s="976">
        <f>J19*E19</f>
        <v>6381.54</v>
      </c>
    </row>
    <row r="20" spans="1:11" ht="12.75">
      <c r="A20" s="1109" t="s">
        <v>1790</v>
      </c>
      <c r="B20" s="236" t="s">
        <v>1791</v>
      </c>
      <c r="C20" s="1100">
        <v>7130310654</v>
      </c>
      <c r="D20" s="969" t="s">
        <v>1721</v>
      </c>
      <c r="E20" s="240">
        <f>VLOOKUP(C20,'SOR RATE'!A:D,4,0)/1000</f>
        <v>58.843</v>
      </c>
      <c r="F20" s="1280">
        <v>120</v>
      </c>
      <c r="G20" s="1282">
        <f>F20*E20</f>
        <v>7061.160000000001</v>
      </c>
      <c r="H20" s="1280">
        <v>120</v>
      </c>
      <c r="I20" s="1282">
        <f>H20*E20</f>
        <v>7061.160000000001</v>
      </c>
      <c r="J20" s="969">
        <v>120</v>
      </c>
      <c r="K20" s="976">
        <f>J20*E20</f>
        <v>7061.160000000001</v>
      </c>
    </row>
    <row r="21" spans="1:11" ht="12.75">
      <c r="A21" s="1109" t="s">
        <v>1764</v>
      </c>
      <c r="B21" s="236" t="s">
        <v>1765</v>
      </c>
      <c r="C21" s="1100">
        <v>7130310652</v>
      </c>
      <c r="D21" s="969" t="s">
        <v>1721</v>
      </c>
      <c r="E21" s="240">
        <f>VLOOKUP(C21,'SOR RATE'!A:D,4,0)/1000</f>
        <v>35.395</v>
      </c>
      <c r="F21" s="1280">
        <v>60</v>
      </c>
      <c r="G21" s="1282">
        <f>F21*E21</f>
        <v>2123.7000000000003</v>
      </c>
      <c r="H21" s="1280">
        <v>60</v>
      </c>
      <c r="I21" s="1282">
        <f>H21*E21</f>
        <v>2123.7000000000003</v>
      </c>
      <c r="J21" s="969">
        <v>60</v>
      </c>
      <c r="K21" s="976">
        <f>J21*E21</f>
        <v>2123.7000000000003</v>
      </c>
    </row>
    <row r="22" spans="1:11" ht="14.25" customHeight="1">
      <c r="A22" s="969">
        <v>6</v>
      </c>
      <c r="B22" s="971" t="s">
        <v>708</v>
      </c>
      <c r="C22" s="1100">
        <v>7130830586</v>
      </c>
      <c r="D22" s="969" t="s">
        <v>83</v>
      </c>
      <c r="E22" s="240">
        <f>VLOOKUP(C22,'SOR RATE'!A:D,4,0)</f>
        <v>178</v>
      </c>
      <c r="F22" s="1280"/>
      <c r="G22" s="1280"/>
      <c r="H22" s="1280"/>
      <c r="I22" s="1280"/>
      <c r="J22" s="969">
        <v>7</v>
      </c>
      <c r="K22" s="976">
        <f>J22*E22</f>
        <v>1246</v>
      </c>
    </row>
    <row r="23" spans="1:11" ht="16.5" customHeight="1">
      <c r="A23" s="969">
        <v>7</v>
      </c>
      <c r="B23" s="1288" t="s">
        <v>709</v>
      </c>
      <c r="C23" s="1100">
        <v>7130830586</v>
      </c>
      <c r="D23" s="969" t="s">
        <v>83</v>
      </c>
      <c r="E23" s="240">
        <f>VLOOKUP(C23,'SOR RATE'!A:D,4,0)</f>
        <v>178</v>
      </c>
      <c r="F23" s="1280" t="s">
        <v>1570</v>
      </c>
      <c r="G23" s="1280" t="s">
        <v>1570</v>
      </c>
      <c r="H23" s="1280" t="s">
        <v>1570</v>
      </c>
      <c r="I23" s="1280" t="s">
        <v>1570</v>
      </c>
      <c r="J23" s="969">
        <v>3</v>
      </c>
      <c r="K23" s="976">
        <f>J23*E23</f>
        <v>534</v>
      </c>
    </row>
    <row r="24" spans="1:13" s="151" customFormat="1" ht="14.25" customHeight="1">
      <c r="A24" s="245">
        <v>8</v>
      </c>
      <c r="B24" s="1185" t="s">
        <v>1052</v>
      </c>
      <c r="C24" s="1289"/>
      <c r="D24" s="244"/>
      <c r="E24" s="244"/>
      <c r="F24" s="244"/>
      <c r="G24" s="973">
        <f>SUM(G10:G23)</f>
        <v>2373229.4000000004</v>
      </c>
      <c r="H24" s="973"/>
      <c r="I24" s="973">
        <f>SUM(I10:I23)</f>
        <v>2913917.4000000004</v>
      </c>
      <c r="J24" s="973"/>
      <c r="K24" s="973">
        <f>SUM(K10:K23)</f>
        <v>3246647.8000000003</v>
      </c>
      <c r="L24" s="597"/>
      <c r="M24" s="323"/>
    </row>
    <row r="25" spans="1:13" ht="16.5" customHeight="1">
      <c r="A25" s="969">
        <v>9</v>
      </c>
      <c r="B25" s="1157" t="s">
        <v>1051</v>
      </c>
      <c r="C25" s="1290"/>
      <c r="D25" s="969"/>
      <c r="E25" s="969">
        <v>0.09</v>
      </c>
      <c r="F25" s="969"/>
      <c r="G25" s="976">
        <f>G24*E25</f>
        <v>213590.64600000004</v>
      </c>
      <c r="H25" s="969"/>
      <c r="I25" s="976">
        <f>I24*E25</f>
        <v>262252.56600000005</v>
      </c>
      <c r="J25" s="976"/>
      <c r="K25" s="976">
        <f>K24*E25</f>
        <v>292198.302</v>
      </c>
      <c r="L25" s="597"/>
      <c r="M25" s="323"/>
    </row>
    <row r="26" spans="1:11" ht="12.75">
      <c r="A26" s="816"/>
      <c r="B26" s="816" t="s">
        <v>710</v>
      </c>
      <c r="C26" s="1290"/>
      <c r="D26" s="969" t="s">
        <v>1571</v>
      </c>
      <c r="E26" s="976">
        <f>1664*1.27*1.0891*1.086275*1.1112*1.0685*1.06217</f>
        <v>3153.010200829536</v>
      </c>
      <c r="F26" s="969"/>
      <c r="G26" s="976">
        <v>0</v>
      </c>
      <c r="H26" s="969"/>
      <c r="I26" s="976">
        <v>0</v>
      </c>
      <c r="J26" s="969">
        <v>7</v>
      </c>
      <c r="K26" s="976">
        <f>J26*E26</f>
        <v>22071.071405806753</v>
      </c>
    </row>
    <row r="27" spans="1:12" ht="19.5" customHeight="1">
      <c r="A27" s="969">
        <v>10</v>
      </c>
      <c r="B27" s="971" t="s">
        <v>1133</v>
      </c>
      <c r="C27" s="1291"/>
      <c r="D27" s="1292"/>
      <c r="E27" s="1293"/>
      <c r="F27" s="1294"/>
      <c r="G27" s="1282">
        <v>57883</v>
      </c>
      <c r="H27" s="1280"/>
      <c r="I27" s="1282">
        <v>57883</v>
      </c>
      <c r="J27" s="1282"/>
      <c r="K27" s="1282">
        <v>57883</v>
      </c>
      <c r="L27" s="595" t="s">
        <v>1305</v>
      </c>
    </row>
    <row r="28" spans="1:12" ht="15.75" customHeight="1">
      <c r="A28" s="969">
        <v>11</v>
      </c>
      <c r="B28" s="971" t="s">
        <v>597</v>
      </c>
      <c r="C28" s="235"/>
      <c r="D28" s="969"/>
      <c r="E28" s="976"/>
      <c r="F28" s="1280"/>
      <c r="G28" s="1282">
        <f>1.1*1.1*5564*1.2*1.1*1.1797*1.1402*0.9368*0.87</f>
        <v>9742.382432956818</v>
      </c>
      <c r="H28" s="1280"/>
      <c r="I28" s="1282">
        <f>1.1*1.1*9990*1.2*1.1*1.1797*1.1402*0.9368*0.87</f>
        <v>17492.164001660425</v>
      </c>
      <c r="J28" s="1282"/>
      <c r="K28" s="1282">
        <f>1.1*1.1*9990*1.2*1.1*1.1797*1.1402*0.9368*0.87</f>
        <v>17492.164001660425</v>
      </c>
      <c r="L28" s="356"/>
    </row>
    <row r="29" spans="1:12" ht="15" customHeight="1">
      <c r="A29" s="969">
        <v>12</v>
      </c>
      <c r="B29" s="971" t="s">
        <v>1134</v>
      </c>
      <c r="C29" s="1291"/>
      <c r="D29" s="1292"/>
      <c r="E29" s="1293"/>
      <c r="F29" s="1294"/>
      <c r="G29" s="240">
        <f>6166.52*1.1402*0.9368*0.87</f>
        <v>5730.431371817665</v>
      </c>
      <c r="H29" s="1280"/>
      <c r="I29" s="1282">
        <v>0</v>
      </c>
      <c r="J29" s="969"/>
      <c r="K29" s="240">
        <f>6166.52*1.1402*0.9368*0.87</f>
        <v>5730.431371817665</v>
      </c>
      <c r="L29" s="595" t="s">
        <v>1306</v>
      </c>
    </row>
    <row r="30" spans="1:13" s="151" customFormat="1" ht="15.75" customHeight="1">
      <c r="A30" s="244">
        <v>13</v>
      </c>
      <c r="B30" s="1185" t="s">
        <v>1053</v>
      </c>
      <c r="C30" s="1289"/>
      <c r="D30" s="244"/>
      <c r="E30" s="244"/>
      <c r="F30" s="244"/>
      <c r="G30" s="973">
        <f>G24+G25+G26+G27+G28+G29</f>
        <v>2660175.859804775</v>
      </c>
      <c r="H30" s="973"/>
      <c r="I30" s="973">
        <f>I24+I25+I26+I27+I28+I29</f>
        <v>3251545.130001661</v>
      </c>
      <c r="J30" s="973"/>
      <c r="K30" s="973">
        <f>K24+K25+K26+K27+K28+K29</f>
        <v>3642022.7687792853</v>
      </c>
      <c r="L30" s="596"/>
      <c r="M30" s="347"/>
    </row>
    <row r="31" spans="1:13" s="151" customFormat="1" ht="30.75" customHeight="1">
      <c r="A31" s="1295">
        <v>14</v>
      </c>
      <c r="B31" s="1157" t="s">
        <v>1054</v>
      </c>
      <c r="C31" s="1289"/>
      <c r="D31" s="244"/>
      <c r="E31" s="969">
        <v>0.11</v>
      </c>
      <c r="F31" s="969"/>
      <c r="G31" s="976">
        <f>G24*E31</f>
        <v>261055.23400000005</v>
      </c>
      <c r="H31" s="976"/>
      <c r="I31" s="976">
        <f>I24*E31</f>
        <v>320530.91400000005</v>
      </c>
      <c r="J31" s="976"/>
      <c r="K31" s="976">
        <f>K24*E31</f>
        <v>357131.25800000003</v>
      </c>
      <c r="L31" s="596"/>
      <c r="M31" s="347"/>
    </row>
    <row r="32" spans="1:13" ht="27.75" customHeight="1">
      <c r="A32" s="1295">
        <v>15</v>
      </c>
      <c r="B32" s="236" t="s">
        <v>598</v>
      </c>
      <c r="C32" s="235"/>
      <c r="D32" s="969"/>
      <c r="E32" s="976"/>
      <c r="F32" s="1280"/>
      <c r="G32" s="1296">
        <f>712562*0.8*0.9+0.1*712562</f>
        <v>584300.84</v>
      </c>
      <c r="H32" s="1297"/>
      <c r="I32" s="1296">
        <f>1819323*0.8*0.9+0.1*1819323</f>
        <v>1491844.86</v>
      </c>
      <c r="J32" s="976"/>
      <c r="K32" s="976">
        <f>1819323*0.8*0.9+0.1*1819323</f>
        <v>1491844.86</v>
      </c>
      <c r="M32" s="348"/>
    </row>
    <row r="33" spans="1:11" ht="12.75">
      <c r="A33" s="1279">
        <v>16</v>
      </c>
      <c r="B33" s="816" t="s">
        <v>2288</v>
      </c>
      <c r="C33" s="1290"/>
      <c r="D33" s="969"/>
      <c r="E33" s="969"/>
      <c r="F33" s="969"/>
      <c r="G33" s="976">
        <f>G30+G31-G32</f>
        <v>2336930.2538047754</v>
      </c>
      <c r="H33" s="976"/>
      <c r="I33" s="976">
        <f>I30+I31-I32</f>
        <v>2080231.1840016607</v>
      </c>
      <c r="J33" s="976"/>
      <c r="K33" s="976">
        <f>K30+K31-K32</f>
        <v>2507309.1667792853</v>
      </c>
    </row>
    <row r="34" spans="1:11" s="151" customFormat="1" ht="17.25" customHeight="1">
      <c r="A34" s="1065">
        <v>17</v>
      </c>
      <c r="B34" s="1276" t="s">
        <v>2289</v>
      </c>
      <c r="C34" s="1298"/>
      <c r="D34" s="1065"/>
      <c r="E34" s="1065"/>
      <c r="F34" s="1065"/>
      <c r="G34" s="1066">
        <f>ROUND(G33,0)</f>
        <v>2336930</v>
      </c>
      <c r="H34" s="1066"/>
      <c r="I34" s="1066">
        <f>ROUND(I33,0)</f>
        <v>2080231</v>
      </c>
      <c r="J34" s="1066"/>
      <c r="K34" s="1066">
        <f>ROUND(K33,0)</f>
        <v>2507309</v>
      </c>
    </row>
    <row r="35" spans="1:11" s="151" customFormat="1" ht="12" customHeight="1">
      <c r="A35" s="349"/>
      <c r="B35" s="350"/>
      <c r="C35" s="351"/>
      <c r="D35" s="349"/>
      <c r="E35" s="349"/>
      <c r="F35" s="349"/>
      <c r="G35" s="352"/>
      <c r="H35" s="352"/>
      <c r="I35" s="352"/>
      <c r="J35" s="352"/>
      <c r="K35" s="352"/>
    </row>
    <row r="36" spans="1:11" ht="12.75">
      <c r="A36" s="353"/>
      <c r="B36" s="1594" t="s">
        <v>2004</v>
      </c>
      <c r="C36" s="1594"/>
      <c r="D36" s="354"/>
      <c r="E36" s="354"/>
      <c r="F36" s="354"/>
      <c r="G36" s="355"/>
      <c r="H36" s="355"/>
      <c r="I36" s="355"/>
      <c r="J36" s="355"/>
      <c r="K36" s="355"/>
    </row>
    <row r="37" spans="1:7" ht="12.75">
      <c r="A37" s="353"/>
      <c r="B37" s="356"/>
      <c r="C37" s="357"/>
      <c r="D37" s="354"/>
      <c r="E37" s="354"/>
      <c r="F37" s="354"/>
      <c r="G37" s="354"/>
    </row>
    <row r="38" spans="5:11" ht="18">
      <c r="E38" s="261"/>
      <c r="G38" s="348"/>
      <c r="H38" s="348"/>
      <c r="I38" s="348"/>
      <c r="J38" s="348"/>
      <c r="K38" s="348"/>
    </row>
    <row r="39" spans="1:11" ht="15">
      <c r="A39" s="1595"/>
      <c r="B39" s="1595"/>
      <c r="C39" s="317"/>
      <c r="G39" s="348"/>
      <c r="H39" s="348"/>
      <c r="I39" s="348"/>
      <c r="J39" s="348"/>
      <c r="K39" s="348"/>
    </row>
  </sheetData>
  <sheetProtection/>
  <mergeCells count="14">
    <mergeCell ref="E7:E8"/>
    <mergeCell ref="F7:G7"/>
    <mergeCell ref="H7:I7"/>
    <mergeCell ref="J7:K7"/>
    <mergeCell ref="A12:A15"/>
    <mergeCell ref="A16:A17"/>
    <mergeCell ref="B36:C36"/>
    <mergeCell ref="A39:B39"/>
    <mergeCell ref="C1:G1"/>
    <mergeCell ref="A3:K3"/>
    <mergeCell ref="A7:A8"/>
    <mergeCell ref="B7:B8"/>
    <mergeCell ref="C7:C8"/>
    <mergeCell ref="D7:D8"/>
  </mergeCells>
  <printOptions horizontalCentered="1"/>
  <pageMargins left="0.75" right="0.15748031496062992" top="0.72" bottom="0.27" header="0.56" footer="0.15"/>
  <pageSetup horizontalDpi="120" verticalDpi="120" orientation="landscape" paperSize="9" scale="97" r:id="rId1"/>
</worksheet>
</file>

<file path=xl/worksheets/sheet24.xml><?xml version="1.0" encoding="utf-8"?>
<worksheet xmlns="http://schemas.openxmlformats.org/spreadsheetml/2006/main" xmlns:r="http://schemas.openxmlformats.org/officeDocument/2006/relationships">
  <sheetPr>
    <tabColor indexed="35"/>
  </sheetPr>
  <dimension ref="A1:P85"/>
  <sheetViews>
    <sheetView zoomScalePageLayoutView="0" workbookViewId="0" topLeftCell="A1">
      <pane xSplit="5" ySplit="9" topLeftCell="F130" activePane="bottomRight" state="frozen"/>
      <selection pane="topLeft" activeCell="A1" sqref="A1"/>
      <selection pane="topRight" activeCell="F1" sqref="F1"/>
      <selection pane="bottomLeft" activeCell="A11" sqref="A11"/>
      <selection pane="bottomRight" activeCell="I95" sqref="I95"/>
    </sheetView>
  </sheetViews>
  <sheetFormatPr defaultColWidth="9.140625" defaultRowHeight="12.75"/>
  <cols>
    <col min="1" max="1" width="4.57421875" style="79" customWidth="1"/>
    <col min="2" max="2" width="4.00390625" style="79" customWidth="1"/>
    <col min="3" max="3" width="50.57421875" style="2" customWidth="1"/>
    <col min="4" max="4" width="12.140625" style="18" customWidth="1"/>
    <col min="5" max="5" width="6.57421875" style="2" bestFit="1" customWidth="1"/>
    <col min="6" max="6" width="9.57421875" style="2" bestFit="1" customWidth="1"/>
    <col min="7" max="7" width="5.7109375" style="2" bestFit="1" customWidth="1"/>
    <col min="8" max="8" width="11.7109375" style="2" customWidth="1"/>
    <col min="9" max="9" width="13.8515625" style="2" customWidth="1"/>
    <col min="10" max="16384" width="9.140625" style="2" customWidth="1"/>
  </cols>
  <sheetData>
    <row r="1" spans="3:10" ht="18">
      <c r="C1" s="1400" t="s">
        <v>2005</v>
      </c>
      <c r="D1" s="1400"/>
      <c r="E1" s="1400"/>
      <c r="F1" s="126"/>
      <c r="G1" s="126"/>
      <c r="H1" s="126"/>
      <c r="I1" s="126"/>
      <c r="J1" s="126"/>
    </row>
    <row r="2" spans="1:7" ht="12.75">
      <c r="A2" s="359"/>
      <c r="B2" s="360"/>
      <c r="C2" s="361"/>
      <c r="D2" s="361"/>
      <c r="E2" s="361"/>
      <c r="F2" s="361"/>
      <c r="G2" s="361"/>
    </row>
    <row r="3" spans="2:8" ht="15">
      <c r="B3" s="196"/>
      <c r="C3" s="1554" t="s">
        <v>1792</v>
      </c>
      <c r="D3" s="1554"/>
      <c r="E3" s="1554"/>
      <c r="F3" s="1554"/>
      <c r="G3" s="263"/>
      <c r="H3" s="263"/>
    </row>
    <row r="4" spans="1:8" ht="15">
      <c r="A4" s="196"/>
      <c r="B4" s="196"/>
      <c r="C4" s="196"/>
      <c r="D4" s="196"/>
      <c r="E4" s="196"/>
      <c r="F4" s="196"/>
      <c r="G4" s="196"/>
      <c r="H4" s="196"/>
    </row>
    <row r="5" spans="1:8" ht="15">
      <c r="A5" s="196"/>
      <c r="B5" s="196"/>
      <c r="C5" s="196"/>
      <c r="D5" s="196"/>
      <c r="E5" s="196"/>
      <c r="F5" s="196"/>
      <c r="G5" s="196"/>
      <c r="H5" s="430" t="s">
        <v>244</v>
      </c>
    </row>
    <row r="6" spans="1:8" ht="27" customHeight="1">
      <c r="A6" s="146" t="s">
        <v>2104</v>
      </c>
      <c r="B6" s="1587" t="s">
        <v>79</v>
      </c>
      <c r="C6" s="1588"/>
      <c r="D6" s="289" t="s">
        <v>88</v>
      </c>
      <c r="E6" s="244" t="s">
        <v>80</v>
      </c>
      <c r="F6" s="244" t="s">
        <v>1326</v>
      </c>
      <c r="G6" s="244" t="s">
        <v>1462</v>
      </c>
      <c r="H6" s="244" t="s">
        <v>1327</v>
      </c>
    </row>
    <row r="7" spans="1:8" ht="12.75">
      <c r="A7" s="245">
        <v>1</v>
      </c>
      <c r="B7" s="1564">
        <v>2</v>
      </c>
      <c r="C7" s="1565"/>
      <c r="D7" s="245">
        <v>3</v>
      </c>
      <c r="E7" s="245">
        <v>4</v>
      </c>
      <c r="F7" s="245">
        <v>5</v>
      </c>
      <c r="G7" s="245">
        <v>6</v>
      </c>
      <c r="H7" s="245">
        <v>7</v>
      </c>
    </row>
    <row r="8" spans="1:8" ht="15" customHeight="1">
      <c r="A8" s="1603">
        <v>1</v>
      </c>
      <c r="B8" s="245"/>
      <c r="C8" s="1299" t="s">
        <v>1793</v>
      </c>
      <c r="D8" s="1300"/>
      <c r="E8" s="1300"/>
      <c r="F8" s="1300"/>
      <c r="G8" s="1300"/>
      <c r="H8" s="1301"/>
    </row>
    <row r="9" spans="1:8" ht="15" customHeight="1">
      <c r="A9" s="1604"/>
      <c r="B9" s="239">
        <v>1</v>
      </c>
      <c r="C9" s="965" t="s">
        <v>1794</v>
      </c>
      <c r="D9" s="1089"/>
      <c r="E9" s="239" t="s">
        <v>1795</v>
      </c>
      <c r="F9" s="240" t="s">
        <v>64</v>
      </c>
      <c r="G9" s="239"/>
      <c r="H9" s="240"/>
    </row>
    <row r="10" spans="1:8" ht="15" customHeight="1">
      <c r="A10" s="1604"/>
      <c r="B10" s="239">
        <v>2</v>
      </c>
      <c r="C10" s="965" t="s">
        <v>1796</v>
      </c>
      <c r="D10" s="1089"/>
      <c r="E10" s="239" t="s">
        <v>1740</v>
      </c>
      <c r="F10" s="240">
        <v>440</v>
      </c>
      <c r="G10" s="239">
        <v>32</v>
      </c>
      <c r="H10" s="240">
        <f>G10*F10</f>
        <v>14080</v>
      </c>
    </row>
    <row r="11" spans="1:8" ht="15" customHeight="1">
      <c r="A11" s="1604"/>
      <c r="B11" s="239">
        <v>3</v>
      </c>
      <c r="C11" s="965" t="s">
        <v>1797</v>
      </c>
      <c r="D11" s="1089"/>
      <c r="E11" s="239" t="s">
        <v>1611</v>
      </c>
      <c r="F11" s="240">
        <v>44000</v>
      </c>
      <c r="G11" s="239">
        <v>1</v>
      </c>
      <c r="H11" s="240">
        <f>G11*F11</f>
        <v>44000</v>
      </c>
    </row>
    <row r="12" spans="1:8" ht="15" customHeight="1">
      <c r="A12" s="1605"/>
      <c r="B12" s="244"/>
      <c r="C12" s="1302" t="s">
        <v>1798</v>
      </c>
      <c r="D12" s="1289"/>
      <c r="E12" s="244"/>
      <c r="F12" s="244"/>
      <c r="G12" s="244"/>
      <c r="H12" s="973">
        <f>SUM(H10:H11)</f>
        <v>58080</v>
      </c>
    </row>
    <row r="13" spans="1:8" s="107" customFormat="1" ht="15" customHeight="1">
      <c r="A13" s="1603">
        <v>2</v>
      </c>
      <c r="B13" s="244"/>
      <c r="C13" s="1303" t="s">
        <v>1799</v>
      </c>
      <c r="D13" s="1304"/>
      <c r="E13" s="1305"/>
      <c r="F13" s="1305"/>
      <c r="G13" s="1305"/>
      <c r="H13" s="1306"/>
    </row>
    <row r="14" spans="1:8" ht="15" customHeight="1">
      <c r="A14" s="1604"/>
      <c r="B14" s="239">
        <v>1</v>
      </c>
      <c r="C14" s="965" t="s">
        <v>1800</v>
      </c>
      <c r="D14" s="1100">
        <v>7132220091</v>
      </c>
      <c r="E14" s="239" t="s">
        <v>83</v>
      </c>
      <c r="F14" s="240">
        <f>VLOOKUP(D14,'SOR RATE'!A:D,4,0)</f>
        <v>809678</v>
      </c>
      <c r="G14" s="239">
        <v>1</v>
      </c>
      <c r="H14" s="240">
        <f aca="true" t="shared" si="0" ref="H14:H27">G14*F14</f>
        <v>809678</v>
      </c>
    </row>
    <row r="15" spans="1:8" ht="15" customHeight="1">
      <c r="A15" s="1604"/>
      <c r="B15" s="969">
        <v>2</v>
      </c>
      <c r="C15" s="965" t="s">
        <v>1801</v>
      </c>
      <c r="D15" s="1100">
        <v>7130800033</v>
      </c>
      <c r="E15" s="239" t="s">
        <v>83</v>
      </c>
      <c r="F15" s="240">
        <f>VLOOKUP(D15,'SOR RATE'!A:D,4,0)</f>
        <v>2993</v>
      </c>
      <c r="G15" s="239">
        <v>2</v>
      </c>
      <c r="H15" s="240">
        <f>G15*F15</f>
        <v>5986</v>
      </c>
    </row>
    <row r="16" spans="1:8" ht="15" customHeight="1">
      <c r="A16" s="1604"/>
      <c r="B16" s="1589">
        <v>3</v>
      </c>
      <c r="C16" s="965" t="s">
        <v>1802</v>
      </c>
      <c r="D16" s="1100">
        <v>7130810595</v>
      </c>
      <c r="E16" s="239" t="s">
        <v>83</v>
      </c>
      <c r="F16" s="240">
        <f>VLOOKUP(D16,'SOR RATE'!A:D,4,0)</f>
        <v>1927.4</v>
      </c>
      <c r="G16" s="239">
        <v>2</v>
      </c>
      <c r="H16" s="240">
        <f>G16*F16</f>
        <v>3854.8</v>
      </c>
    </row>
    <row r="17" spans="1:8" ht="15" customHeight="1">
      <c r="A17" s="1604"/>
      <c r="B17" s="1591"/>
      <c r="C17" s="1307" t="s">
        <v>1803</v>
      </c>
      <c r="D17" s="1100">
        <v>7130810361</v>
      </c>
      <c r="E17" s="239" t="s">
        <v>83</v>
      </c>
      <c r="F17" s="240">
        <f>VLOOKUP(D17,'SOR RATE'!A:D,4,0)</f>
        <v>239.47</v>
      </c>
      <c r="G17" s="239">
        <v>2</v>
      </c>
      <c r="H17" s="240">
        <f t="shared" si="0"/>
        <v>478.94</v>
      </c>
    </row>
    <row r="18" spans="1:8" ht="15" customHeight="1">
      <c r="A18" s="1604"/>
      <c r="B18" s="239">
        <v>4</v>
      </c>
      <c r="C18" s="965" t="s">
        <v>2012</v>
      </c>
      <c r="D18" s="1100">
        <v>7130810676</v>
      </c>
      <c r="E18" s="239" t="s">
        <v>83</v>
      </c>
      <c r="F18" s="240">
        <f>VLOOKUP(D18,'SOR RATE'!A:D,4,0)</f>
        <v>320.68</v>
      </c>
      <c r="G18" s="239">
        <v>5</v>
      </c>
      <c r="H18" s="240">
        <f t="shared" si="0"/>
        <v>1603.4</v>
      </c>
    </row>
    <row r="19" spans="1:8" ht="15" customHeight="1">
      <c r="A19" s="1604"/>
      <c r="B19" s="969">
        <v>5</v>
      </c>
      <c r="C19" s="965" t="s">
        <v>2013</v>
      </c>
      <c r="D19" s="1100">
        <v>7131930321</v>
      </c>
      <c r="E19" s="239" t="s">
        <v>1330</v>
      </c>
      <c r="F19" s="240">
        <f>VLOOKUP(D19,'SOR RATE'!A:D,4,0)</f>
        <v>20846</v>
      </c>
      <c r="G19" s="239">
        <v>1</v>
      </c>
      <c r="H19" s="240">
        <f t="shared" si="0"/>
        <v>20846</v>
      </c>
    </row>
    <row r="20" spans="1:8" ht="15" customHeight="1">
      <c r="A20" s="1604"/>
      <c r="B20" s="969">
        <v>6</v>
      </c>
      <c r="C20" s="965" t="s">
        <v>2014</v>
      </c>
      <c r="D20" s="1100">
        <v>7131930415</v>
      </c>
      <c r="E20" s="239" t="s">
        <v>1611</v>
      </c>
      <c r="F20" s="240">
        <f>VLOOKUP(D20,'SOR RATE'!A:D,4,0)</f>
        <v>2918</v>
      </c>
      <c r="G20" s="239">
        <v>3</v>
      </c>
      <c r="H20" s="240">
        <f t="shared" si="0"/>
        <v>8754</v>
      </c>
    </row>
    <row r="21" spans="1:8" ht="15" customHeight="1">
      <c r="A21" s="1604"/>
      <c r="B21" s="239">
        <v>7</v>
      </c>
      <c r="C21" s="965" t="s">
        <v>1650</v>
      </c>
      <c r="D21" s="1100">
        <v>7130840021</v>
      </c>
      <c r="E21" s="239" t="s">
        <v>1611</v>
      </c>
      <c r="F21" s="240">
        <f>VLOOKUP(D21,'SOR RATE'!A:D,4,0)</f>
        <v>3551</v>
      </c>
      <c r="G21" s="239">
        <v>3</v>
      </c>
      <c r="H21" s="240">
        <f t="shared" si="0"/>
        <v>10653</v>
      </c>
    </row>
    <row r="22" spans="1:8" ht="15" customHeight="1">
      <c r="A22" s="1604"/>
      <c r="B22" s="969">
        <v>8</v>
      </c>
      <c r="C22" s="965" t="s">
        <v>671</v>
      </c>
      <c r="D22" s="1100">
        <v>7130820009</v>
      </c>
      <c r="E22" s="239" t="s">
        <v>1611</v>
      </c>
      <c r="F22" s="240">
        <f>VLOOKUP(D22,'SOR RATE'!A:D,4,0)</f>
        <v>385</v>
      </c>
      <c r="G22" s="239">
        <v>9</v>
      </c>
      <c r="H22" s="240">
        <f t="shared" si="0"/>
        <v>3465</v>
      </c>
    </row>
    <row r="23" spans="1:8" ht="26.25" customHeight="1">
      <c r="A23" s="1604"/>
      <c r="B23" s="243">
        <v>9</v>
      </c>
      <c r="C23" s="966" t="s">
        <v>2015</v>
      </c>
      <c r="D23" s="1100">
        <v>7130810684</v>
      </c>
      <c r="E23" s="234" t="s">
        <v>1330</v>
      </c>
      <c r="F23" s="240">
        <f>VLOOKUP(D23,'SOR RATE'!A:D,4,0)</f>
        <v>6989.71</v>
      </c>
      <c r="G23" s="234">
        <v>2</v>
      </c>
      <c r="H23" s="240">
        <f t="shared" si="0"/>
        <v>13979.42</v>
      </c>
    </row>
    <row r="24" spans="1:8" ht="15" customHeight="1">
      <c r="A24" s="1604"/>
      <c r="B24" s="969">
        <v>10</v>
      </c>
      <c r="C24" s="965" t="s">
        <v>451</v>
      </c>
      <c r="D24" s="1100">
        <v>7130800012</v>
      </c>
      <c r="E24" s="239" t="s">
        <v>83</v>
      </c>
      <c r="F24" s="240">
        <f>VLOOKUP(D24,'SOR RATE'!A:D,4,0)</f>
        <v>1659</v>
      </c>
      <c r="G24" s="239">
        <v>8</v>
      </c>
      <c r="H24" s="240">
        <f t="shared" si="0"/>
        <v>13272</v>
      </c>
    </row>
    <row r="25" spans="1:8" ht="15" customHeight="1">
      <c r="A25" s="1604"/>
      <c r="B25" s="969">
        <v>11</v>
      </c>
      <c r="C25" s="965" t="s">
        <v>452</v>
      </c>
      <c r="D25" s="1100">
        <v>7130810684</v>
      </c>
      <c r="E25" s="239" t="s">
        <v>83</v>
      </c>
      <c r="F25" s="240">
        <f>VLOOKUP(D25,'SOR RATE'!A:D,4,0)</f>
        <v>6989.71</v>
      </c>
      <c r="G25" s="239">
        <v>16</v>
      </c>
      <c r="H25" s="240">
        <f t="shared" si="0"/>
        <v>111835.36</v>
      </c>
    </row>
    <row r="26" spans="1:8" ht="15" customHeight="1">
      <c r="A26" s="1604"/>
      <c r="B26" s="969">
        <v>12</v>
      </c>
      <c r="C26" s="965" t="s">
        <v>997</v>
      </c>
      <c r="D26" s="1100">
        <v>7131930221</v>
      </c>
      <c r="E26" s="239" t="s">
        <v>1611</v>
      </c>
      <c r="F26" s="240">
        <f>VLOOKUP(D26,'SOR RATE'!A:D,4,0)</f>
        <v>8675</v>
      </c>
      <c r="G26" s="239">
        <v>3</v>
      </c>
      <c r="H26" s="240">
        <f t="shared" si="0"/>
        <v>26025</v>
      </c>
    </row>
    <row r="27" spans="1:8" ht="15" customHeight="1">
      <c r="A27" s="1604"/>
      <c r="B27" s="969">
        <v>13</v>
      </c>
      <c r="C27" s="965" t="s">
        <v>1651</v>
      </c>
      <c r="D27" s="1100">
        <v>7130840029</v>
      </c>
      <c r="E27" s="239" t="s">
        <v>1611</v>
      </c>
      <c r="F27" s="240">
        <f>VLOOKUP(D27,'SOR RATE'!A:D,4,0)</f>
        <v>517</v>
      </c>
      <c r="G27" s="239">
        <v>3</v>
      </c>
      <c r="H27" s="240">
        <f t="shared" si="0"/>
        <v>1551</v>
      </c>
    </row>
    <row r="28" spans="1:8" ht="15" customHeight="1">
      <c r="A28" s="1604"/>
      <c r="B28" s="1589">
        <v>14</v>
      </c>
      <c r="C28" s="1303" t="s">
        <v>998</v>
      </c>
      <c r="D28" s="1100"/>
      <c r="E28" s="239" t="s">
        <v>1330</v>
      </c>
      <c r="F28" s="240"/>
      <c r="G28" s="244">
        <v>21</v>
      </c>
      <c r="H28" s="240"/>
    </row>
    <row r="29" spans="1:8" ht="15" customHeight="1">
      <c r="A29" s="1604"/>
      <c r="B29" s="1590"/>
      <c r="C29" s="965" t="s">
        <v>1508</v>
      </c>
      <c r="D29" s="1100">
        <v>7130820010</v>
      </c>
      <c r="E29" s="239" t="s">
        <v>83</v>
      </c>
      <c r="F29" s="240">
        <f>VLOOKUP(D29,'SOR RATE'!A:D,4,0)</f>
        <v>142</v>
      </c>
      <c r="G29" s="239">
        <v>21</v>
      </c>
      <c r="H29" s="240">
        <f>G29*F29</f>
        <v>2982</v>
      </c>
    </row>
    <row r="30" spans="1:8" ht="15" customHeight="1">
      <c r="A30" s="1604"/>
      <c r="B30" s="1591"/>
      <c r="C30" s="965" t="s">
        <v>570</v>
      </c>
      <c r="D30" s="1100">
        <v>7130820241</v>
      </c>
      <c r="E30" s="239" t="s">
        <v>83</v>
      </c>
      <c r="F30" s="240">
        <f>VLOOKUP(D30,'SOR RATE'!A:D,4,0)</f>
        <v>116</v>
      </c>
      <c r="G30" s="239">
        <v>21</v>
      </c>
      <c r="H30" s="240">
        <f>G30*F30</f>
        <v>2436</v>
      </c>
    </row>
    <row r="31" spans="1:8" ht="15" customHeight="1">
      <c r="A31" s="1604"/>
      <c r="B31" s="969">
        <v>15</v>
      </c>
      <c r="C31" s="965" t="s">
        <v>999</v>
      </c>
      <c r="D31" s="1100">
        <v>7130830060</v>
      </c>
      <c r="E31" s="239" t="s">
        <v>1333</v>
      </c>
      <c r="F31" s="240">
        <f>VLOOKUP(D31,'SOR RATE'!A:D,4,0)/1000</f>
        <v>42.115</v>
      </c>
      <c r="G31" s="239">
        <v>20</v>
      </c>
      <c r="H31" s="240">
        <f>G31*F31</f>
        <v>842.3000000000001</v>
      </c>
    </row>
    <row r="32" spans="1:8" ht="15" customHeight="1">
      <c r="A32" s="1604"/>
      <c r="B32" s="969">
        <v>16</v>
      </c>
      <c r="C32" s="965" t="s">
        <v>1000</v>
      </c>
      <c r="D32" s="1100">
        <v>7130830586</v>
      </c>
      <c r="E32" s="239" t="s">
        <v>83</v>
      </c>
      <c r="F32" s="240">
        <f>VLOOKUP(D32,'SOR RATE'!A:D,4,0)</f>
        <v>178</v>
      </c>
      <c r="G32" s="239">
        <v>27</v>
      </c>
      <c r="H32" s="240">
        <f>G32*F32</f>
        <v>4806</v>
      </c>
    </row>
    <row r="33" spans="1:8" ht="15" customHeight="1">
      <c r="A33" s="1604"/>
      <c r="B33" s="969">
        <v>17</v>
      </c>
      <c r="C33" s="965" t="s">
        <v>1509</v>
      </c>
      <c r="D33" s="1100">
        <v>7130830052</v>
      </c>
      <c r="E33" s="239" t="s">
        <v>83</v>
      </c>
      <c r="F33" s="240">
        <f>VLOOKUP(D33,'SOR RATE'!A:D,4,0)</f>
        <v>547</v>
      </c>
      <c r="G33" s="239">
        <v>12</v>
      </c>
      <c r="H33" s="240">
        <f>G33*F33</f>
        <v>6564</v>
      </c>
    </row>
    <row r="34" spans="1:8" ht="15" customHeight="1">
      <c r="A34" s="1604"/>
      <c r="B34" s="1589">
        <v>18</v>
      </c>
      <c r="C34" s="1303" t="s">
        <v>634</v>
      </c>
      <c r="D34" s="1100"/>
      <c r="E34" s="239" t="s">
        <v>1576</v>
      </c>
      <c r="F34" s="240"/>
      <c r="G34" s="244">
        <v>100</v>
      </c>
      <c r="H34" s="240"/>
    </row>
    <row r="35" spans="1:8" ht="15" customHeight="1">
      <c r="A35" s="1604"/>
      <c r="B35" s="1590"/>
      <c r="C35" s="971" t="s">
        <v>635</v>
      </c>
      <c r="D35" s="1100">
        <v>7130620609</v>
      </c>
      <c r="E35" s="239" t="s">
        <v>1576</v>
      </c>
      <c r="F35" s="240">
        <f>VLOOKUP(D35,'SOR RATE'!A:D,4,0)</f>
        <v>63</v>
      </c>
      <c r="G35" s="239">
        <v>2</v>
      </c>
      <c r="H35" s="240">
        <f aca="true" t="shared" si="1" ref="H35:H41">G35*F35</f>
        <v>126</v>
      </c>
    </row>
    <row r="36" spans="1:8" ht="15" customHeight="1">
      <c r="A36" s="1604"/>
      <c r="B36" s="1590"/>
      <c r="C36" s="971" t="s">
        <v>447</v>
      </c>
      <c r="D36" s="1100">
        <v>7130620614</v>
      </c>
      <c r="E36" s="239" t="s">
        <v>1576</v>
      </c>
      <c r="F36" s="240">
        <f>VLOOKUP(D36,'SOR RATE'!A:D,4,0)</f>
        <v>62</v>
      </c>
      <c r="G36" s="239">
        <v>2</v>
      </c>
      <c r="H36" s="240">
        <f t="shared" si="1"/>
        <v>124</v>
      </c>
    </row>
    <row r="37" spans="1:8" ht="15" customHeight="1">
      <c r="A37" s="1604"/>
      <c r="B37" s="1590"/>
      <c r="C37" s="971" t="s">
        <v>448</v>
      </c>
      <c r="D37" s="1100">
        <v>7130620619</v>
      </c>
      <c r="E37" s="239" t="s">
        <v>1576</v>
      </c>
      <c r="F37" s="240">
        <f>VLOOKUP(D37,'SOR RATE'!A:D,4,0)</f>
        <v>62</v>
      </c>
      <c r="G37" s="239">
        <v>25</v>
      </c>
      <c r="H37" s="240">
        <f t="shared" si="1"/>
        <v>1550</v>
      </c>
    </row>
    <row r="38" spans="1:8" ht="15" customHeight="1">
      <c r="A38" s="1604"/>
      <c r="B38" s="1590"/>
      <c r="C38" s="971" t="s">
        <v>449</v>
      </c>
      <c r="D38" s="1100">
        <v>7130620627</v>
      </c>
      <c r="E38" s="239" t="s">
        <v>1576</v>
      </c>
      <c r="F38" s="240">
        <f>VLOOKUP(D38,'SOR RATE'!A:D,4,0)</f>
        <v>61</v>
      </c>
      <c r="G38" s="239">
        <v>40</v>
      </c>
      <c r="H38" s="240">
        <f t="shared" si="1"/>
        <v>2440</v>
      </c>
    </row>
    <row r="39" spans="1:8" ht="15" customHeight="1">
      <c r="A39" s="1604"/>
      <c r="B39" s="1590"/>
      <c r="C39" s="971" t="s">
        <v>131</v>
      </c>
      <c r="D39" s="1100">
        <v>7130620631</v>
      </c>
      <c r="E39" s="239" t="s">
        <v>1576</v>
      </c>
      <c r="F39" s="240">
        <f>VLOOKUP(D39,'SOR RATE'!A:D,4,0)</f>
        <v>61</v>
      </c>
      <c r="G39" s="239">
        <v>50</v>
      </c>
      <c r="H39" s="240">
        <f t="shared" si="1"/>
        <v>3050</v>
      </c>
    </row>
    <row r="40" spans="1:8" ht="15" customHeight="1">
      <c r="A40" s="1604"/>
      <c r="B40" s="1591"/>
      <c r="C40" s="971" t="s">
        <v>132</v>
      </c>
      <c r="D40" s="1100">
        <v>7130620637</v>
      </c>
      <c r="E40" s="239" t="s">
        <v>1576</v>
      </c>
      <c r="F40" s="240">
        <f>VLOOKUP(D40,'SOR RATE'!A:D,4,0)</f>
        <v>61</v>
      </c>
      <c r="G40" s="239">
        <v>6</v>
      </c>
      <c r="H40" s="240">
        <f t="shared" si="1"/>
        <v>366</v>
      </c>
    </row>
    <row r="41" spans="1:8" ht="15" customHeight="1">
      <c r="A41" s="1604"/>
      <c r="B41" s="969">
        <v>19</v>
      </c>
      <c r="C41" s="965" t="s">
        <v>1001</v>
      </c>
      <c r="D41" s="1100">
        <v>7130600173</v>
      </c>
      <c r="E41" s="239" t="s">
        <v>1576</v>
      </c>
      <c r="F41" s="240">
        <f>VLOOKUP(D41,'SOR RATE'!A:D,4,0)/1000</f>
        <v>34.149</v>
      </c>
      <c r="G41" s="239">
        <v>100</v>
      </c>
      <c r="H41" s="240">
        <f t="shared" si="1"/>
        <v>3414.9</v>
      </c>
    </row>
    <row r="42" spans="1:11" ht="15" customHeight="1">
      <c r="A42" s="1604"/>
      <c r="B42" s="1589">
        <v>20</v>
      </c>
      <c r="C42" s="1303" t="s">
        <v>1553</v>
      </c>
      <c r="D42" s="1089"/>
      <c r="E42" s="239"/>
      <c r="F42" s="240">
        <f>H43+H44+H45+H46+H47+H48</f>
        <v>12726.630000000001</v>
      </c>
      <c r="G42" s="239"/>
      <c r="H42" s="240"/>
      <c r="I42" s="518" t="s">
        <v>2290</v>
      </c>
      <c r="J42" s="518"/>
      <c r="K42" s="518"/>
    </row>
    <row r="43" spans="1:8" ht="27.75" customHeight="1">
      <c r="A43" s="1604"/>
      <c r="B43" s="1590"/>
      <c r="C43" s="1308" t="s">
        <v>1554</v>
      </c>
      <c r="D43" s="1100">
        <v>7130642039</v>
      </c>
      <c r="E43" s="239" t="s">
        <v>83</v>
      </c>
      <c r="F43" s="240">
        <f>VLOOKUP(D43,'SOR RATE'!A:D,4,0)</f>
        <v>770</v>
      </c>
      <c r="G43" s="239">
        <v>12</v>
      </c>
      <c r="H43" s="240">
        <f aca="true" t="shared" si="2" ref="H43:H48">G43*F43</f>
        <v>9240</v>
      </c>
    </row>
    <row r="44" spans="1:12" ht="15" customHeight="1">
      <c r="A44" s="1604"/>
      <c r="B44" s="1590"/>
      <c r="C44" s="971" t="s">
        <v>1325</v>
      </c>
      <c r="D44" s="1100">
        <v>7130600173</v>
      </c>
      <c r="E44" s="239" t="s">
        <v>1576</v>
      </c>
      <c r="F44" s="240">
        <f>VLOOKUP(D44,'SOR RATE'!A:D,4,0)/1000</f>
        <v>34.149</v>
      </c>
      <c r="G44" s="1148">
        <v>60</v>
      </c>
      <c r="H44" s="240">
        <f t="shared" si="2"/>
        <v>2048.94</v>
      </c>
      <c r="I44" s="362"/>
      <c r="J44" s="363"/>
      <c r="K44" s="363"/>
      <c r="L44" s="363"/>
    </row>
    <row r="45" spans="1:8" ht="15" customHeight="1">
      <c r="A45" s="1604"/>
      <c r="B45" s="1590"/>
      <c r="C45" s="250" t="s">
        <v>1555</v>
      </c>
      <c r="D45" s="1100">
        <v>7130870043</v>
      </c>
      <c r="E45" s="239" t="s">
        <v>1576</v>
      </c>
      <c r="F45" s="240">
        <f>VLOOKUP(D45,'SOR RATE'!A:D,4,0)/1000</f>
        <v>52.969</v>
      </c>
      <c r="G45" s="1148">
        <v>10</v>
      </c>
      <c r="H45" s="240">
        <f t="shared" si="2"/>
        <v>529.69</v>
      </c>
    </row>
    <row r="46" spans="1:8" ht="15" customHeight="1">
      <c r="A46" s="1604"/>
      <c r="B46" s="1590"/>
      <c r="C46" s="900" t="s">
        <v>1556</v>
      </c>
      <c r="D46" s="1100">
        <v>7130620133</v>
      </c>
      <c r="E46" s="239" t="s">
        <v>1576</v>
      </c>
      <c r="F46" s="240">
        <f>VLOOKUP(D46,'SOR RATE'!A:D,4,0)</f>
        <v>87</v>
      </c>
      <c r="G46" s="1148">
        <v>5</v>
      </c>
      <c r="H46" s="240">
        <f t="shared" si="2"/>
        <v>435</v>
      </c>
    </row>
    <row r="47" spans="1:12" ht="15" customHeight="1">
      <c r="A47" s="1604"/>
      <c r="B47" s="1590"/>
      <c r="C47" s="966" t="s">
        <v>1426</v>
      </c>
      <c r="D47" s="1089">
        <v>7130620140</v>
      </c>
      <c r="E47" s="239" t="s">
        <v>1576</v>
      </c>
      <c r="F47" s="240">
        <f>VLOOKUP(D47,'SOR RATE'!A:D,4,0)</f>
        <v>87</v>
      </c>
      <c r="G47" s="1148">
        <v>4</v>
      </c>
      <c r="H47" s="240">
        <f t="shared" si="2"/>
        <v>348</v>
      </c>
      <c r="I47" s="364"/>
      <c r="J47" s="208"/>
      <c r="K47" s="208"/>
      <c r="L47" s="208"/>
    </row>
    <row r="48" spans="1:8" ht="15" customHeight="1">
      <c r="A48" s="1604"/>
      <c r="B48" s="1591"/>
      <c r="C48" s="971" t="s">
        <v>1557</v>
      </c>
      <c r="D48" s="1100">
        <v>7130622922</v>
      </c>
      <c r="E48" s="239" t="s">
        <v>1576</v>
      </c>
      <c r="F48" s="240">
        <f>VLOOKUP(D48,'SOR RATE'!A:D,4,0)</f>
        <v>125</v>
      </c>
      <c r="G48" s="1148">
        <v>1</v>
      </c>
      <c r="H48" s="240">
        <f t="shared" si="2"/>
        <v>125</v>
      </c>
    </row>
    <row r="49" spans="1:8" ht="15" customHeight="1">
      <c r="A49" s="1605"/>
      <c r="B49" s="244"/>
      <c r="C49" s="1303" t="s">
        <v>1558</v>
      </c>
      <c r="D49" s="1289"/>
      <c r="E49" s="244"/>
      <c r="F49" s="244"/>
      <c r="G49" s="244"/>
      <c r="H49" s="973">
        <f>SUM(H14:H48)</f>
        <v>1073409.75</v>
      </c>
    </row>
    <row r="50" spans="1:10" ht="15" customHeight="1">
      <c r="A50" s="1309">
        <v>3</v>
      </c>
      <c r="B50" s="239"/>
      <c r="C50" s="1157" t="s">
        <v>1051</v>
      </c>
      <c r="D50" s="1089"/>
      <c r="E50" s="239"/>
      <c r="F50" s="239">
        <v>0.09</v>
      </c>
      <c r="G50" s="239"/>
      <c r="H50" s="240">
        <f>H49*F50</f>
        <v>96606.8775</v>
      </c>
      <c r="I50" s="322"/>
      <c r="J50" s="323"/>
    </row>
    <row r="51" spans="1:9" ht="15" customHeight="1">
      <c r="A51" s="1309">
        <v>4</v>
      </c>
      <c r="B51" s="239"/>
      <c r="C51" s="965" t="s">
        <v>1559</v>
      </c>
      <c r="D51" s="1089"/>
      <c r="E51" s="239" t="s">
        <v>83</v>
      </c>
      <c r="F51" s="240">
        <f>1187*1.27*1.0891*1.086275*1.1112*1.0685*1.06217</f>
        <v>2249.17254109655</v>
      </c>
      <c r="G51" s="239">
        <v>1</v>
      </c>
      <c r="H51" s="240">
        <f>G51*F51</f>
        <v>2249.17254109655</v>
      </c>
      <c r="I51" s="281"/>
    </row>
    <row r="52" spans="1:12" ht="15" customHeight="1">
      <c r="A52" s="1295">
        <v>5</v>
      </c>
      <c r="B52" s="239"/>
      <c r="C52" s="966" t="s">
        <v>1560</v>
      </c>
      <c r="D52" s="1089"/>
      <c r="E52" s="239"/>
      <c r="F52" s="240"/>
      <c r="G52" s="239"/>
      <c r="H52" s="240">
        <v>71458.66</v>
      </c>
      <c r="I52" s="336"/>
      <c r="J52" s="337"/>
      <c r="K52" s="337"/>
      <c r="L52" s="338"/>
    </row>
    <row r="53" spans="1:16" ht="15" customHeight="1">
      <c r="A53" s="1309">
        <v>6</v>
      </c>
      <c r="B53" s="239"/>
      <c r="C53" s="965" t="s">
        <v>235</v>
      </c>
      <c r="D53" s="1089"/>
      <c r="E53" s="239"/>
      <c r="F53" s="239"/>
      <c r="G53" s="239"/>
      <c r="H53" s="240">
        <f>23594*1.1402*0.9368*0.87</f>
        <v>21925.4616520608</v>
      </c>
      <c r="I53" s="335"/>
      <c r="J53" s="44"/>
      <c r="K53" s="44"/>
      <c r="L53" s="44"/>
      <c r="M53" s="44"/>
      <c r="N53" s="44"/>
      <c r="O53" s="44"/>
      <c r="P53" s="44"/>
    </row>
    <row r="54" spans="1:9" ht="15" customHeight="1">
      <c r="A54" s="1310">
        <v>7</v>
      </c>
      <c r="B54" s="239"/>
      <c r="C54" s="1185" t="s">
        <v>1053</v>
      </c>
      <c r="D54" s="1089"/>
      <c r="E54" s="239"/>
      <c r="F54" s="239"/>
      <c r="G54" s="239"/>
      <c r="H54" s="973">
        <f>H49+H50+H51+H52+H53</f>
        <v>1265649.9216931572</v>
      </c>
      <c r="I54" s="324"/>
    </row>
    <row r="55" spans="1:9" ht="28.5" customHeight="1">
      <c r="A55" s="1309">
        <v>8</v>
      </c>
      <c r="B55" s="239"/>
      <c r="C55" s="1157" t="s">
        <v>1054</v>
      </c>
      <c r="D55" s="1089"/>
      <c r="E55" s="239"/>
      <c r="F55" s="239">
        <v>0.11</v>
      </c>
      <c r="G55" s="239"/>
      <c r="H55" s="240">
        <f>H49*F55</f>
        <v>118075.0725</v>
      </c>
      <c r="I55" s="324"/>
    </row>
    <row r="56" spans="1:8" ht="15" customHeight="1">
      <c r="A56" s="1309">
        <v>9</v>
      </c>
      <c r="B56" s="239"/>
      <c r="C56" s="965" t="s">
        <v>1561</v>
      </c>
      <c r="D56" s="1089"/>
      <c r="E56" s="239"/>
      <c r="F56" s="239"/>
      <c r="G56" s="239"/>
      <c r="H56" s="240">
        <f>H12+H54+H55</f>
        <v>1441804.9941931572</v>
      </c>
    </row>
    <row r="57" spans="1:8" ht="15" customHeight="1">
      <c r="A57" s="1311">
        <v>10</v>
      </c>
      <c r="B57" s="1065"/>
      <c r="C57" s="1277" t="s">
        <v>1562</v>
      </c>
      <c r="D57" s="1312"/>
      <c r="E57" s="1065"/>
      <c r="F57" s="1065"/>
      <c r="G57" s="1065"/>
      <c r="H57" s="1066">
        <f>ROUND(H56,0)</f>
        <v>1441805</v>
      </c>
    </row>
    <row r="58" spans="2:5" ht="15" customHeight="1">
      <c r="B58" s="315"/>
      <c r="C58" s="283"/>
      <c r="D58" s="339"/>
      <c r="E58" s="365"/>
    </row>
    <row r="59" spans="1:8" ht="16.5" customHeight="1">
      <c r="A59" s="313"/>
      <c r="B59" s="22"/>
      <c r="C59" s="1601" t="s">
        <v>2004</v>
      </c>
      <c r="D59" s="1602"/>
      <c r="E59" s="283"/>
      <c r="H59" s="281"/>
    </row>
    <row r="60" spans="1:8" ht="14.25" customHeight="1">
      <c r="A60" s="315"/>
      <c r="B60" s="366"/>
      <c r="C60" s="56"/>
      <c r="D60" s="367"/>
      <c r="E60" s="56"/>
      <c r="F60" s="56"/>
      <c r="G60" s="56"/>
      <c r="H60" s="56"/>
    </row>
    <row r="82" spans="3:8" ht="12.75">
      <c r="C82" s="107"/>
      <c r="D82" s="368"/>
      <c r="E82" s="107"/>
      <c r="F82" s="107"/>
      <c r="G82" s="107"/>
      <c r="H82" s="107"/>
    </row>
    <row r="85" spans="1:8" ht="15">
      <c r="A85" s="173"/>
      <c r="B85" s="173"/>
      <c r="C85" s="369"/>
      <c r="D85" s="370"/>
      <c r="E85" s="369"/>
      <c r="F85" s="369"/>
      <c r="G85" s="369"/>
      <c r="H85" s="369"/>
    </row>
  </sheetData>
  <sheetProtection/>
  <mergeCells count="11">
    <mergeCell ref="B42:B48"/>
    <mergeCell ref="C59:D59"/>
    <mergeCell ref="C1:E1"/>
    <mergeCell ref="C3:F3"/>
    <mergeCell ref="B6:C6"/>
    <mergeCell ref="B7:C7"/>
    <mergeCell ref="A8:A12"/>
    <mergeCell ref="A13:A49"/>
    <mergeCell ref="B16:B17"/>
    <mergeCell ref="B28:B30"/>
    <mergeCell ref="B34:B40"/>
  </mergeCells>
  <printOptions horizontalCentered="1"/>
  <pageMargins left="0.72" right="0.16" top="0.87" bottom="0.39" header="0.61" footer="0.17"/>
  <pageSetup horizontalDpi="600" verticalDpi="600" orientation="landscape" scale="120" r:id="rId1"/>
  <ignoredErrors>
    <ignoredError sqref="F31" formula="1"/>
  </ignoredErrors>
</worksheet>
</file>

<file path=xl/worksheets/sheet3.xml><?xml version="1.0" encoding="utf-8"?>
<worksheet xmlns="http://schemas.openxmlformats.org/spreadsheetml/2006/main" xmlns:r="http://schemas.openxmlformats.org/officeDocument/2006/relationships">
  <sheetPr>
    <tabColor indexed="15"/>
  </sheetPr>
  <dimension ref="A1:Q85"/>
  <sheetViews>
    <sheetView zoomScale="85" zoomScaleNormal="85" zoomScaleSheetLayoutView="70" zoomScalePageLayoutView="0" workbookViewId="0" topLeftCell="A1">
      <pane xSplit="2" ySplit="9" topLeftCell="C46" activePane="bottomRight" state="frozen"/>
      <selection pane="topLeft" activeCell="A1" sqref="A1"/>
      <selection pane="topRight" activeCell="C1" sqref="C1"/>
      <selection pane="bottomLeft" activeCell="A10" sqref="A10"/>
      <selection pane="bottomRight" activeCell="M5" sqref="M5"/>
    </sheetView>
  </sheetViews>
  <sheetFormatPr defaultColWidth="9.140625" defaultRowHeight="12.75"/>
  <cols>
    <col min="1" max="1" width="4.28125" style="11" customWidth="1"/>
    <col min="2" max="2" width="41.140625" style="1" customWidth="1"/>
    <col min="3" max="3" width="14.8515625" style="65" customWidth="1"/>
    <col min="4" max="4" width="5.57421875" style="11" customWidth="1"/>
    <col min="5" max="5" width="7.140625" style="12" customWidth="1"/>
    <col min="6" max="6" width="9.57421875" style="12" customWidth="1"/>
    <col min="7" max="7" width="12.28125" style="12" customWidth="1"/>
    <col min="8" max="8" width="6.57421875" style="12" bestFit="1" customWidth="1"/>
    <col min="9" max="9" width="9.8515625" style="12" bestFit="1" customWidth="1"/>
    <col min="10" max="10" width="12.28125" style="12" customWidth="1"/>
    <col min="11" max="11" width="6.57421875" style="12" bestFit="1" customWidth="1"/>
    <col min="12" max="12" width="9.57421875" style="12" customWidth="1"/>
    <col min="13" max="13" width="12.28125" style="12" customWidth="1"/>
    <col min="14" max="14" width="29.28125" style="1" customWidth="1"/>
    <col min="15" max="15" width="30.8515625" style="1" bestFit="1" customWidth="1"/>
    <col min="16" max="16" width="13.140625" style="1" customWidth="1"/>
    <col min="17" max="16384" width="9.140625" style="1" customWidth="1"/>
  </cols>
  <sheetData>
    <row r="1" spans="2:14" ht="18" customHeight="1">
      <c r="B1" s="108"/>
      <c r="C1" s="1380" t="s">
        <v>2105</v>
      </c>
      <c r="D1" s="1380"/>
      <c r="E1" s="1380"/>
      <c r="F1" s="1380"/>
      <c r="G1" s="1380"/>
      <c r="H1" s="108"/>
      <c r="I1" s="108"/>
      <c r="J1" s="108"/>
      <c r="K1" s="108"/>
      <c r="L1" s="108"/>
      <c r="M1" s="108"/>
      <c r="N1" s="481"/>
    </row>
    <row r="2" spans="1:13" ht="13.5" customHeight="1">
      <c r="A2" s="109"/>
      <c r="B2" s="109"/>
      <c r="C2" s="109"/>
      <c r="D2" s="109"/>
      <c r="E2" s="109"/>
      <c r="F2" s="109"/>
      <c r="G2" s="109"/>
      <c r="H2" s="109"/>
      <c r="I2" s="109"/>
      <c r="J2" s="109"/>
      <c r="K2" s="109"/>
      <c r="L2" s="109"/>
      <c r="M2" s="109"/>
    </row>
    <row r="3" spans="2:13" ht="39" customHeight="1">
      <c r="B3" s="1392" t="s">
        <v>2147</v>
      </c>
      <c r="C3" s="1392"/>
      <c r="D3" s="1392"/>
      <c r="E3" s="1392"/>
      <c r="F3" s="1392"/>
      <c r="G3" s="1392"/>
      <c r="H3" s="1392"/>
      <c r="I3" s="1392"/>
      <c r="J3" s="1392"/>
      <c r="K3" s="110"/>
      <c r="L3" s="110"/>
      <c r="M3" s="110"/>
    </row>
    <row r="4" spans="1:13" ht="10.5" customHeight="1">
      <c r="A4" s="1381"/>
      <c r="B4" s="1381"/>
      <c r="C4" s="1381"/>
      <c r="D4" s="1381"/>
      <c r="E4" s="1381"/>
      <c r="F4" s="1381"/>
      <c r="G4" s="1381"/>
      <c r="H4" s="1381"/>
      <c r="I4" s="1381"/>
      <c r="J4" s="1381"/>
      <c r="K4" s="424"/>
      <c r="L4" s="424"/>
      <c r="M4" s="424"/>
    </row>
    <row r="5" spans="1:13" ht="15.75" customHeight="1">
      <c r="A5" s="113"/>
      <c r="B5" s="178"/>
      <c r="C5" s="112"/>
      <c r="D5" s="113"/>
      <c r="E5" s="113"/>
      <c r="F5" s="113"/>
      <c r="G5" s="113"/>
      <c r="H5" s="114"/>
      <c r="I5" s="114"/>
      <c r="J5" s="428" t="s">
        <v>244</v>
      </c>
      <c r="K5" s="560"/>
      <c r="L5" s="560"/>
      <c r="M5" s="560"/>
    </row>
    <row r="6" spans="1:13" ht="17.25" customHeight="1">
      <c r="A6" s="113"/>
      <c r="B6" s="111"/>
      <c r="C6" s="112"/>
      <c r="D6" s="113"/>
      <c r="E6" s="113"/>
      <c r="F6" s="113"/>
      <c r="G6" s="113"/>
      <c r="H6" s="114"/>
      <c r="I6" s="114"/>
      <c r="J6" s="115"/>
      <c r="K6" s="115"/>
      <c r="L6" s="115"/>
      <c r="M6" s="115"/>
    </row>
    <row r="7" spans="1:15" ht="33.75" customHeight="1">
      <c r="A7" s="1383" t="s">
        <v>78</v>
      </c>
      <c r="B7" s="1383" t="s">
        <v>79</v>
      </c>
      <c r="C7" s="1384" t="s">
        <v>88</v>
      </c>
      <c r="D7" s="1383" t="s">
        <v>80</v>
      </c>
      <c r="E7" s="1391" t="s">
        <v>81</v>
      </c>
      <c r="F7" s="1391"/>
      <c r="G7" s="1391"/>
      <c r="H7" s="1391" t="s">
        <v>70</v>
      </c>
      <c r="I7" s="1391"/>
      <c r="J7" s="1391"/>
      <c r="K7" s="1393" t="s">
        <v>41</v>
      </c>
      <c r="L7" s="1394"/>
      <c r="M7" s="1395"/>
      <c r="O7" s="436" t="s">
        <v>515</v>
      </c>
    </row>
    <row r="8" spans="1:13" s="62" customFormat="1" ht="33" customHeight="1">
      <c r="A8" s="1383"/>
      <c r="B8" s="1383"/>
      <c r="C8" s="1385"/>
      <c r="D8" s="1383"/>
      <c r="E8" s="6" t="s">
        <v>86</v>
      </c>
      <c r="F8" s="6" t="s">
        <v>1326</v>
      </c>
      <c r="G8" s="6" t="s">
        <v>2047</v>
      </c>
      <c r="H8" s="6" t="s">
        <v>86</v>
      </c>
      <c r="I8" s="6" t="s">
        <v>1326</v>
      </c>
      <c r="J8" s="6" t="s">
        <v>2047</v>
      </c>
      <c r="K8" s="6" t="s">
        <v>86</v>
      </c>
      <c r="L8" s="6" t="s">
        <v>601</v>
      </c>
      <c r="M8" s="6" t="s">
        <v>2047</v>
      </c>
    </row>
    <row r="9" spans="1:15" s="62" customFormat="1" ht="15.75">
      <c r="A9" s="116">
        <v>1</v>
      </c>
      <c r="B9" s="116">
        <v>2</v>
      </c>
      <c r="C9" s="30">
        <v>3</v>
      </c>
      <c r="D9" s="116">
        <v>4</v>
      </c>
      <c r="E9" s="66">
        <v>5</v>
      </c>
      <c r="F9" s="66">
        <v>6</v>
      </c>
      <c r="G9" s="66">
        <v>7</v>
      </c>
      <c r="H9" s="66">
        <v>8</v>
      </c>
      <c r="I9" s="66">
        <v>9</v>
      </c>
      <c r="J9" s="66">
        <v>10</v>
      </c>
      <c r="K9" s="66">
        <v>11</v>
      </c>
      <c r="L9" s="66">
        <v>12</v>
      </c>
      <c r="M9" s="66">
        <v>13</v>
      </c>
      <c r="O9" s="519"/>
    </row>
    <row r="10" spans="1:13" ht="21" customHeight="1">
      <c r="A10" s="3">
        <v>1</v>
      </c>
      <c r="B10" s="218" t="s">
        <v>1720</v>
      </c>
      <c r="C10" s="19">
        <v>7130800033</v>
      </c>
      <c r="D10" s="3" t="s">
        <v>83</v>
      </c>
      <c r="E10" s="219">
        <v>10</v>
      </c>
      <c r="F10" s="4">
        <f>VLOOKUP(C10,'SOR RATE'!A:D,4,0)</f>
        <v>2993</v>
      </c>
      <c r="G10" s="4">
        <f>F10*E10</f>
        <v>29930</v>
      </c>
      <c r="H10" s="4"/>
      <c r="I10" s="4"/>
      <c r="J10" s="4"/>
      <c r="K10" s="4"/>
      <c r="L10" s="4"/>
      <c r="M10" s="4"/>
    </row>
    <row r="11" spans="1:13" ht="36.75" customHeight="1">
      <c r="A11" s="3" t="s">
        <v>1582</v>
      </c>
      <c r="B11" s="218" t="s">
        <v>456</v>
      </c>
      <c r="C11" s="19">
        <v>7130601958</v>
      </c>
      <c r="D11" s="3" t="s">
        <v>1576</v>
      </c>
      <c r="E11" s="4"/>
      <c r="F11" s="4"/>
      <c r="G11" s="4"/>
      <c r="H11" s="219">
        <v>4823</v>
      </c>
      <c r="I11" s="447">
        <f>VLOOKUP(C11,'SOR RATE'!A:D,4,0)/1000</f>
        <v>32.575</v>
      </c>
      <c r="J11" s="4">
        <f>I11*H11</f>
        <v>157109.225</v>
      </c>
      <c r="K11" s="4"/>
      <c r="L11" s="4"/>
      <c r="M11" s="4"/>
    </row>
    <row r="12" spans="1:15" ht="23.25" customHeight="1">
      <c r="A12" s="3" t="s">
        <v>1583</v>
      </c>
      <c r="B12" s="218" t="s">
        <v>42</v>
      </c>
      <c r="C12" s="19"/>
      <c r="D12" s="3" t="s">
        <v>83</v>
      </c>
      <c r="E12" s="4"/>
      <c r="F12" s="4"/>
      <c r="G12" s="4"/>
      <c r="H12" s="219"/>
      <c r="I12" s="447"/>
      <c r="J12" s="4"/>
      <c r="K12" s="219">
        <v>10</v>
      </c>
      <c r="L12" s="4">
        <v>4515</v>
      </c>
      <c r="M12" s="4">
        <f>K12*L12</f>
        <v>45150</v>
      </c>
      <c r="O12" s="200"/>
    </row>
    <row r="13" spans="1:13" ht="19.5" customHeight="1">
      <c r="A13" s="19">
        <v>4</v>
      </c>
      <c r="B13" s="218" t="s">
        <v>241</v>
      </c>
      <c r="C13" s="19">
        <v>7130810595</v>
      </c>
      <c r="D13" s="788" t="s">
        <v>83</v>
      </c>
      <c r="E13" s="789">
        <v>10</v>
      </c>
      <c r="F13" s="790">
        <f>VLOOKUP(C13,'SOR RATE'!A:D,4,0)</f>
        <v>1927.4</v>
      </c>
      <c r="G13" s="790">
        <f>F13*E13</f>
        <v>19274</v>
      </c>
      <c r="H13" s="789">
        <v>10</v>
      </c>
      <c r="I13" s="791">
        <f>VLOOKUP(C13,'SOR RATE'!A:D,4,0)</f>
        <v>1927.4</v>
      </c>
      <c r="J13" s="790">
        <f>I13*H13</f>
        <v>19274</v>
      </c>
      <c r="K13" s="789">
        <v>10</v>
      </c>
      <c r="L13" s="790">
        <f>VLOOKUP(C13,'SOR RATE'!A:D,4,0)</f>
        <v>1927.4</v>
      </c>
      <c r="M13" s="790">
        <f aca="true" t="shared" si="0" ref="M13:M47">K13*L13</f>
        <v>19274</v>
      </c>
    </row>
    <row r="14" spans="1:13" ht="20.25" customHeight="1">
      <c r="A14" s="1376">
        <v>5</v>
      </c>
      <c r="B14" s="218" t="s">
        <v>1743</v>
      </c>
      <c r="C14" s="448"/>
      <c r="D14" s="448"/>
      <c r="E14" s="449"/>
      <c r="F14" s="449"/>
      <c r="G14" s="449"/>
      <c r="H14" s="449"/>
      <c r="I14" s="449"/>
      <c r="J14" s="449"/>
      <c r="K14" s="792"/>
      <c r="L14" s="793"/>
      <c r="M14" s="794"/>
    </row>
    <row r="15" spans="1:13" ht="18.75" customHeight="1">
      <c r="A15" s="1377"/>
      <c r="B15" s="218" t="s">
        <v>2115</v>
      </c>
      <c r="C15" s="19">
        <v>7130810193</v>
      </c>
      <c r="D15" s="629" t="s">
        <v>83</v>
      </c>
      <c r="E15" s="795">
        <v>10</v>
      </c>
      <c r="F15" s="451">
        <f>VLOOKUP(C15,'SOR RATE'!A:D,4,0)</f>
        <v>225.04</v>
      </c>
      <c r="G15" s="451">
        <f>F15*E15</f>
        <v>2250.4</v>
      </c>
      <c r="H15" s="451"/>
      <c r="I15" s="451"/>
      <c r="J15" s="451"/>
      <c r="K15" s="795">
        <v>10</v>
      </c>
      <c r="L15" s="451">
        <f>VLOOKUP(C15,'SOR RATE'!A:D,4,0)</f>
        <v>225.04</v>
      </c>
      <c r="M15" s="451">
        <f t="shared" si="0"/>
        <v>2250.4</v>
      </c>
    </row>
    <row r="16" spans="1:13" ht="18.75" customHeight="1">
      <c r="A16" s="1377"/>
      <c r="B16" s="218" t="s">
        <v>1443</v>
      </c>
      <c r="C16" s="19">
        <v>7130810692</v>
      </c>
      <c r="D16" s="3" t="s">
        <v>83</v>
      </c>
      <c r="E16" s="219"/>
      <c r="F16" s="4"/>
      <c r="G16" s="4"/>
      <c r="H16" s="219">
        <v>10</v>
      </c>
      <c r="I16" s="447">
        <f>VLOOKUP(C16,'SOR RATE'!A:D,4,0)</f>
        <v>249.66</v>
      </c>
      <c r="J16" s="4">
        <f aca="true" t="shared" si="1" ref="J16:J22">I16*H16</f>
        <v>2496.6</v>
      </c>
      <c r="K16" s="219"/>
      <c r="L16" s="4"/>
      <c r="M16" s="4"/>
    </row>
    <row r="17" spans="1:13" ht="20.25" customHeight="1">
      <c r="A17" s="19">
        <v>6</v>
      </c>
      <c r="B17" s="218" t="s">
        <v>1251</v>
      </c>
      <c r="C17" s="19">
        <v>7130810676</v>
      </c>
      <c r="D17" s="3" t="s">
        <v>83</v>
      </c>
      <c r="E17" s="219">
        <v>10</v>
      </c>
      <c r="F17" s="4">
        <f>VLOOKUP(C17,'SOR RATE'!A:D,4,0)</f>
        <v>320.68</v>
      </c>
      <c r="G17" s="4">
        <f aca="true" t="shared" si="2" ref="G17:G23">F17*E17</f>
        <v>3206.8</v>
      </c>
      <c r="H17" s="219">
        <v>10</v>
      </c>
      <c r="I17" s="447">
        <f>VLOOKUP(C17,'SOR RATE'!A:D,4,0)</f>
        <v>320.68</v>
      </c>
      <c r="J17" s="4">
        <f t="shared" si="1"/>
        <v>3206.8</v>
      </c>
      <c r="K17" s="219">
        <v>10</v>
      </c>
      <c r="L17" s="4">
        <f>VLOOKUP(C17,'SOR RATE'!A:D,4,0)</f>
        <v>320.68</v>
      </c>
      <c r="M17" s="4">
        <f t="shared" si="0"/>
        <v>3206.8</v>
      </c>
    </row>
    <row r="18" spans="1:13" ht="36" customHeight="1">
      <c r="A18" s="19">
        <v>7</v>
      </c>
      <c r="B18" s="218" t="s">
        <v>84</v>
      </c>
      <c r="C18" s="19">
        <v>7130870013</v>
      </c>
      <c r="D18" s="3" t="s">
        <v>83</v>
      </c>
      <c r="E18" s="219">
        <v>10</v>
      </c>
      <c r="F18" s="4">
        <f>VLOOKUP(C18,'SOR RATE'!A:D,4,0)</f>
        <v>97</v>
      </c>
      <c r="G18" s="4">
        <f t="shared" si="2"/>
        <v>970</v>
      </c>
      <c r="H18" s="219">
        <v>10</v>
      </c>
      <c r="I18" s="447">
        <f>VLOOKUP(C18,'SOR RATE'!A:D,4,0)</f>
        <v>97</v>
      </c>
      <c r="J18" s="4">
        <f t="shared" si="1"/>
        <v>970</v>
      </c>
      <c r="K18" s="219">
        <v>10</v>
      </c>
      <c r="L18" s="4">
        <f>VLOOKUP(C18,'SOR RATE'!A:D,4,0)</f>
        <v>97</v>
      </c>
      <c r="M18" s="4">
        <f t="shared" si="0"/>
        <v>970</v>
      </c>
    </row>
    <row r="19" spans="1:15" ht="20.25" customHeight="1">
      <c r="A19" s="19">
        <v>8</v>
      </c>
      <c r="B19" s="218" t="s">
        <v>496</v>
      </c>
      <c r="C19" s="19">
        <v>7130820009</v>
      </c>
      <c r="D19" s="3" t="s">
        <v>83</v>
      </c>
      <c r="E19" s="219">
        <v>30</v>
      </c>
      <c r="F19" s="4">
        <f>VLOOKUP(C19,'SOR RATE'!A:D,4,0)</f>
        <v>385</v>
      </c>
      <c r="G19" s="4">
        <f t="shared" si="2"/>
        <v>11550</v>
      </c>
      <c r="H19" s="219">
        <v>30</v>
      </c>
      <c r="I19" s="447">
        <f>VLOOKUP(C19,'SOR RATE'!A:D,4,0)</f>
        <v>385</v>
      </c>
      <c r="J19" s="4">
        <f t="shared" si="1"/>
        <v>11550</v>
      </c>
      <c r="K19" s="219">
        <v>30</v>
      </c>
      <c r="L19" s="4">
        <f>VLOOKUP(C19,'SOR RATE'!A:D,4,0)</f>
        <v>385</v>
      </c>
      <c r="M19" s="4">
        <f t="shared" si="0"/>
        <v>11550</v>
      </c>
      <c r="O19" s="100"/>
    </row>
    <row r="20" spans="1:15" ht="36.75" customHeight="1">
      <c r="A20" s="19">
        <v>9</v>
      </c>
      <c r="B20" s="218" t="s">
        <v>1569</v>
      </c>
      <c r="C20" s="19">
        <v>7130830060</v>
      </c>
      <c r="D20" s="3" t="s">
        <v>1721</v>
      </c>
      <c r="E20" s="219">
        <v>3100</v>
      </c>
      <c r="F20" s="4">
        <f>VLOOKUP(C20,'SOR RATE'!A:D,4,0)/1000</f>
        <v>42.115</v>
      </c>
      <c r="G20" s="4">
        <f t="shared" si="2"/>
        <v>130556.5</v>
      </c>
      <c r="H20" s="219">
        <v>3100</v>
      </c>
      <c r="I20" s="447">
        <f>VLOOKUP(C20,'SOR RATE'!A:D,4,0)/1000</f>
        <v>42.115</v>
      </c>
      <c r="J20" s="4">
        <f t="shared" si="1"/>
        <v>130556.5</v>
      </c>
      <c r="K20" s="219">
        <v>3100</v>
      </c>
      <c r="L20" s="4">
        <f>VLOOKUP(C20,'SOR RATE'!A:D,4,0)/1000</f>
        <v>42.115</v>
      </c>
      <c r="M20" s="4">
        <f t="shared" si="0"/>
        <v>130556.5</v>
      </c>
      <c r="O20" s="427"/>
    </row>
    <row r="21" spans="1:15" ht="35.25" customHeight="1">
      <c r="A21" s="19">
        <v>10</v>
      </c>
      <c r="B21" s="218" t="s">
        <v>1710</v>
      </c>
      <c r="C21" s="19">
        <v>7130830050</v>
      </c>
      <c r="D21" s="3" t="s">
        <v>83</v>
      </c>
      <c r="E21" s="219">
        <v>6</v>
      </c>
      <c r="F21" s="4">
        <f>VLOOKUP(C21,'SOR RATE'!A:D,4,0)</f>
        <v>30</v>
      </c>
      <c r="G21" s="4">
        <f t="shared" si="2"/>
        <v>180</v>
      </c>
      <c r="H21" s="219">
        <v>6</v>
      </c>
      <c r="I21" s="447">
        <f>VLOOKUP(C21,'SOR RATE'!A:D,4,0)</f>
        <v>30</v>
      </c>
      <c r="J21" s="4">
        <f t="shared" si="1"/>
        <v>180</v>
      </c>
      <c r="K21" s="219">
        <v>6</v>
      </c>
      <c r="L21" s="4">
        <f>VLOOKUP(C21,'SOR RATE'!A:D,4,0)</f>
        <v>30</v>
      </c>
      <c r="M21" s="4">
        <f t="shared" si="0"/>
        <v>180</v>
      </c>
      <c r="N21" s="98"/>
      <c r="O21" s="199"/>
    </row>
    <row r="22" spans="1:13" ht="20.25" customHeight="1">
      <c r="A22" s="1388">
        <v>11</v>
      </c>
      <c r="B22" s="218" t="s">
        <v>2111</v>
      </c>
      <c r="C22" s="19">
        <v>7130860033</v>
      </c>
      <c r="D22" s="3" t="s">
        <v>83</v>
      </c>
      <c r="E22" s="219">
        <v>3</v>
      </c>
      <c r="F22" s="4">
        <f>VLOOKUP(C22,'SOR RATE'!A:D,4,0)</f>
        <v>629</v>
      </c>
      <c r="G22" s="4">
        <f t="shared" si="2"/>
        <v>1887</v>
      </c>
      <c r="H22" s="219">
        <v>3</v>
      </c>
      <c r="I22" s="447">
        <f>VLOOKUP(C22,'SOR RATE'!A:D,4,0)</f>
        <v>629</v>
      </c>
      <c r="J22" s="4">
        <f t="shared" si="1"/>
        <v>1887</v>
      </c>
      <c r="K22" s="219">
        <v>3</v>
      </c>
      <c r="L22" s="4">
        <f>VLOOKUP(C22,'SOR RATE'!A:D,4,0)</f>
        <v>629</v>
      </c>
      <c r="M22" s="4">
        <f t="shared" si="0"/>
        <v>1887</v>
      </c>
    </row>
    <row r="23" spans="1:13" ht="21.75" customHeight="1">
      <c r="A23" s="1389"/>
      <c r="B23" s="218" t="s">
        <v>2112</v>
      </c>
      <c r="C23" s="19">
        <v>7130810193</v>
      </c>
      <c r="D23" s="3" t="s">
        <v>83</v>
      </c>
      <c r="E23" s="219">
        <v>3</v>
      </c>
      <c r="F23" s="4">
        <f>VLOOKUP(C23,'SOR RATE'!A:D,4,0)</f>
        <v>225.04</v>
      </c>
      <c r="G23" s="4">
        <f t="shared" si="2"/>
        <v>675.12</v>
      </c>
      <c r="H23" s="4"/>
      <c r="I23" s="4"/>
      <c r="J23" s="4"/>
      <c r="K23" s="219">
        <v>3</v>
      </c>
      <c r="L23" s="4">
        <f>VLOOKUP(C23,'SOR RATE'!A:D,4,0)</f>
        <v>225.04</v>
      </c>
      <c r="M23" s="4">
        <f t="shared" si="0"/>
        <v>675.12</v>
      </c>
    </row>
    <row r="24" spans="1:13" ht="20.25" customHeight="1">
      <c r="A24" s="1389"/>
      <c r="B24" s="218" t="s">
        <v>1440</v>
      </c>
      <c r="C24" s="19">
        <v>7130810692</v>
      </c>
      <c r="D24" s="3" t="s">
        <v>83</v>
      </c>
      <c r="E24" s="219"/>
      <c r="F24" s="4"/>
      <c r="G24" s="4"/>
      <c r="H24" s="219">
        <v>3</v>
      </c>
      <c r="I24" s="447">
        <f>VLOOKUP(C24,'SOR RATE'!A:D,4,0)</f>
        <v>249.66</v>
      </c>
      <c r="J24" s="4">
        <f>I24*H24</f>
        <v>748.98</v>
      </c>
      <c r="K24" s="4"/>
      <c r="L24" s="4"/>
      <c r="M24" s="4"/>
    </row>
    <row r="25" spans="1:13" ht="34.5" customHeight="1">
      <c r="A25" s="1390"/>
      <c r="B25" s="218" t="s">
        <v>1441</v>
      </c>
      <c r="C25" s="19">
        <v>7130860076</v>
      </c>
      <c r="D25" s="3" t="s">
        <v>1576</v>
      </c>
      <c r="E25" s="796">
        <v>25.5</v>
      </c>
      <c r="F25" s="4">
        <f>VLOOKUP(C25,'SOR RATE'!A:D,4,0)/1000</f>
        <v>58.65</v>
      </c>
      <c r="G25" s="4">
        <f>F25*E25</f>
        <v>1495.575</v>
      </c>
      <c r="H25" s="796">
        <f>+E25</f>
        <v>25.5</v>
      </c>
      <c r="I25" s="447">
        <f>VLOOKUP(C25,'SOR RATE'!A:D,4,0)/1000</f>
        <v>58.65</v>
      </c>
      <c r="J25" s="4">
        <f>I25*H25</f>
        <v>1495.575</v>
      </c>
      <c r="K25" s="796">
        <v>25.5</v>
      </c>
      <c r="L25" s="4">
        <f>VLOOKUP(C25,'SOR RATE'!A:D,4,0)/1000</f>
        <v>58.65</v>
      </c>
      <c r="M25" s="4">
        <f>K25*L25</f>
        <v>1495.575</v>
      </c>
    </row>
    <row r="26" spans="1:15" ht="78" customHeight="1">
      <c r="A26" s="622">
        <v>12</v>
      </c>
      <c r="B26" s="797" t="s">
        <v>191</v>
      </c>
      <c r="C26" s="451"/>
      <c r="D26" s="629" t="s">
        <v>1571</v>
      </c>
      <c r="E26" s="798">
        <v>2</v>
      </c>
      <c r="F26" s="451"/>
      <c r="G26" s="451"/>
      <c r="H26" s="798">
        <f>(10*0.65)+(5*0.3)</f>
        <v>8</v>
      </c>
      <c r="I26" s="451"/>
      <c r="J26" s="451"/>
      <c r="K26" s="798">
        <f>(10*0.55)+(5*0.3)</f>
        <v>7</v>
      </c>
      <c r="L26" s="4"/>
      <c r="M26" s="4"/>
      <c r="N26" s="589" t="s">
        <v>192</v>
      </c>
      <c r="O26" s="1" t="s">
        <v>1283</v>
      </c>
    </row>
    <row r="27" spans="1:15" ht="19.5" customHeight="1">
      <c r="A27" s="19">
        <v>13</v>
      </c>
      <c r="B27" s="218" t="s">
        <v>2113</v>
      </c>
      <c r="C27" s="19">
        <v>7130200401</v>
      </c>
      <c r="D27" s="3" t="s">
        <v>1576</v>
      </c>
      <c r="E27" s="19">
        <f>E26*208</f>
        <v>416</v>
      </c>
      <c r="F27" s="4">
        <f>VLOOKUP(C27,'SOR RATE'!A:D,4,0)/50</f>
        <v>4.9</v>
      </c>
      <c r="G27" s="4">
        <f aca="true" t="shared" si="3" ref="G27:G32">F27*E27</f>
        <v>2038.4</v>
      </c>
      <c r="H27" s="219">
        <f>H26*208</f>
        <v>1664</v>
      </c>
      <c r="I27" s="447">
        <f>VLOOKUP(C27,'SOR RATE'!A:D,4,0)/50</f>
        <v>4.9</v>
      </c>
      <c r="J27" s="4">
        <f aca="true" t="shared" si="4" ref="J27:J32">I27*H27</f>
        <v>8153.6</v>
      </c>
      <c r="K27" s="219">
        <f>K26*208</f>
        <v>1456</v>
      </c>
      <c r="L27" s="4">
        <f>VLOOKUP(C27,'SOR RATE'!A:D,4,0)/50</f>
        <v>4.9</v>
      </c>
      <c r="M27" s="4">
        <f t="shared" si="0"/>
        <v>7134.400000000001</v>
      </c>
      <c r="N27" s="524" t="s">
        <v>17</v>
      </c>
      <c r="O27" s="524" t="s">
        <v>2024</v>
      </c>
    </row>
    <row r="28" spans="1:13" ht="17.25" customHeight="1">
      <c r="A28" s="19">
        <v>14</v>
      </c>
      <c r="B28" s="218" t="s">
        <v>1572</v>
      </c>
      <c r="C28" s="19">
        <v>7130211158</v>
      </c>
      <c r="D28" s="3" t="s">
        <v>1573</v>
      </c>
      <c r="E28" s="796">
        <v>1.4</v>
      </c>
      <c r="F28" s="4">
        <f>VLOOKUP(C28,'SOR RATE'!A:D,4,0)</f>
        <v>133</v>
      </c>
      <c r="G28" s="4">
        <f t="shared" si="3"/>
        <v>186.2</v>
      </c>
      <c r="H28" s="219">
        <v>6</v>
      </c>
      <c r="I28" s="447">
        <f>VLOOKUP(C28,'SOR RATE'!A:D,4,0)</f>
        <v>133</v>
      </c>
      <c r="J28" s="4">
        <f t="shared" si="4"/>
        <v>798</v>
      </c>
      <c r="K28" s="796">
        <v>1.4</v>
      </c>
      <c r="L28" s="4">
        <f>VLOOKUP(C28,'SOR RATE'!A:D,4,0)</f>
        <v>133</v>
      </c>
      <c r="M28" s="4">
        <f t="shared" si="0"/>
        <v>186.2</v>
      </c>
    </row>
    <row r="29" spans="1:13" ht="17.25" customHeight="1">
      <c r="A29" s="19">
        <v>15</v>
      </c>
      <c r="B29" s="218" t="s">
        <v>1574</v>
      </c>
      <c r="C29" s="19">
        <v>7130210809</v>
      </c>
      <c r="D29" s="3" t="s">
        <v>1573</v>
      </c>
      <c r="E29" s="796">
        <v>1.5</v>
      </c>
      <c r="F29" s="4">
        <f>VLOOKUP(C29,'SOR RATE'!A:D,4,0)</f>
        <v>297</v>
      </c>
      <c r="G29" s="4">
        <f t="shared" si="3"/>
        <v>445.5</v>
      </c>
      <c r="H29" s="219">
        <v>6</v>
      </c>
      <c r="I29" s="447">
        <f>VLOOKUP(C29,'SOR RATE'!A:D,4,0)</f>
        <v>297</v>
      </c>
      <c r="J29" s="4">
        <f t="shared" si="4"/>
        <v>1782</v>
      </c>
      <c r="K29" s="796">
        <v>1.5</v>
      </c>
      <c r="L29" s="4">
        <f>VLOOKUP(C29,'SOR RATE'!A:D,4,0)</f>
        <v>297</v>
      </c>
      <c r="M29" s="4">
        <f t="shared" si="0"/>
        <v>445.5</v>
      </c>
    </row>
    <row r="30" spans="1:16" ht="20.25" customHeight="1">
      <c r="A30" s="19">
        <v>16</v>
      </c>
      <c r="B30" s="218" t="s">
        <v>1438</v>
      </c>
      <c r="C30" s="19">
        <v>7130610206</v>
      </c>
      <c r="D30" s="3" t="s">
        <v>1576</v>
      </c>
      <c r="E30" s="219">
        <v>20</v>
      </c>
      <c r="F30" s="4">
        <f>VLOOKUP(C30,'SOR RATE'!A:D,4,0)/1000</f>
        <v>63.963</v>
      </c>
      <c r="G30" s="4">
        <f t="shared" si="3"/>
        <v>1279.26</v>
      </c>
      <c r="H30" s="219">
        <v>20</v>
      </c>
      <c r="I30" s="447">
        <f>VLOOKUP(C30,'SOR RATE'!A:D,4,0)/1000</f>
        <v>63.963</v>
      </c>
      <c r="J30" s="4">
        <f t="shared" si="4"/>
        <v>1279.26</v>
      </c>
      <c r="K30" s="219">
        <v>20</v>
      </c>
      <c r="L30" s="4">
        <f>VLOOKUP(C30,'SOR RATE'!A:D,4,0)/1000</f>
        <v>63.963</v>
      </c>
      <c r="M30" s="4">
        <f t="shared" si="0"/>
        <v>1279.26</v>
      </c>
      <c r="N30" s="589" t="s">
        <v>18</v>
      </c>
      <c r="O30" s="372" t="s">
        <v>516</v>
      </c>
      <c r="P30" s="144"/>
    </row>
    <row r="31" spans="1:15" ht="19.5" customHeight="1">
      <c r="A31" s="19">
        <v>17</v>
      </c>
      <c r="B31" s="218" t="s">
        <v>2114</v>
      </c>
      <c r="C31" s="19">
        <v>7130880041</v>
      </c>
      <c r="D31" s="3" t="s">
        <v>83</v>
      </c>
      <c r="E31" s="219">
        <v>10</v>
      </c>
      <c r="F31" s="4">
        <f>VLOOKUP(C31,'SOR RATE'!A:D,4,0)</f>
        <v>62</v>
      </c>
      <c r="G31" s="4">
        <f t="shared" si="3"/>
        <v>620</v>
      </c>
      <c r="H31" s="219">
        <v>10</v>
      </c>
      <c r="I31" s="447">
        <f>VLOOKUP(C31,'SOR RATE'!A:D,4,0)</f>
        <v>62</v>
      </c>
      <c r="J31" s="4">
        <f t="shared" si="4"/>
        <v>620</v>
      </c>
      <c r="K31" s="219">
        <v>10</v>
      </c>
      <c r="L31" s="4">
        <f>VLOOKUP(C31,'SOR RATE'!A:D,4,0)</f>
        <v>62</v>
      </c>
      <c r="M31" s="4">
        <f>K31*L31</f>
        <v>620</v>
      </c>
      <c r="O31" s="119"/>
    </row>
    <row r="32" spans="1:13" ht="20.25" customHeight="1">
      <c r="A32" s="19">
        <v>18</v>
      </c>
      <c r="B32" s="218" t="s">
        <v>1709</v>
      </c>
      <c r="C32" s="19">
        <v>7130830006</v>
      </c>
      <c r="D32" s="3" t="s">
        <v>1576</v>
      </c>
      <c r="E32" s="796">
        <v>3.5</v>
      </c>
      <c r="F32" s="4">
        <f>VLOOKUP(C32,'SOR RATE'!A:D,4,0)</f>
        <v>130</v>
      </c>
      <c r="G32" s="4">
        <f t="shared" si="3"/>
        <v>455</v>
      </c>
      <c r="H32" s="796">
        <v>3.5</v>
      </c>
      <c r="I32" s="447">
        <f>VLOOKUP(C32,'SOR RATE'!A:D,4,0)</f>
        <v>130</v>
      </c>
      <c r="J32" s="4">
        <f t="shared" si="4"/>
        <v>455</v>
      </c>
      <c r="K32" s="796">
        <v>3.5</v>
      </c>
      <c r="L32" s="4">
        <f>VLOOKUP(C32,'SOR RATE'!A:D,4,0)</f>
        <v>130</v>
      </c>
      <c r="M32" s="4">
        <f t="shared" si="0"/>
        <v>455</v>
      </c>
    </row>
    <row r="33" spans="1:13" ht="15.75" customHeight="1">
      <c r="A33" s="1388">
        <v>19</v>
      </c>
      <c r="B33" s="218" t="s">
        <v>1577</v>
      </c>
      <c r="C33" s="19"/>
      <c r="D33" s="3" t="s">
        <v>1576</v>
      </c>
      <c r="E33" s="219">
        <v>17</v>
      </c>
      <c r="F33" s="4"/>
      <c r="G33" s="4"/>
      <c r="H33" s="219">
        <v>17</v>
      </c>
      <c r="I33" s="4"/>
      <c r="J33" s="4"/>
      <c r="K33" s="219">
        <v>17</v>
      </c>
      <c r="L33" s="4"/>
      <c r="M33" s="4"/>
    </row>
    <row r="34" spans="1:13" ht="15" customHeight="1">
      <c r="A34" s="1389"/>
      <c r="B34" s="218" t="s">
        <v>2106</v>
      </c>
      <c r="C34" s="19">
        <v>7130620614</v>
      </c>
      <c r="D34" s="3" t="s">
        <v>1576</v>
      </c>
      <c r="E34" s="219"/>
      <c r="F34" s="4">
        <f>VLOOKUP(C34,'SOR RATE'!A:D,4,0)</f>
        <v>62</v>
      </c>
      <c r="G34" s="4"/>
      <c r="H34" s="219">
        <v>7</v>
      </c>
      <c r="I34" s="447">
        <f>VLOOKUP(C34,'SOR RATE'!A:D,4,0)</f>
        <v>62</v>
      </c>
      <c r="J34" s="4">
        <f>I34*H34</f>
        <v>434</v>
      </c>
      <c r="K34" s="4"/>
      <c r="L34" s="4">
        <f>VLOOKUP(C34,'SOR RATE'!A:D,4,0)</f>
        <v>62</v>
      </c>
      <c r="M34" s="4"/>
    </row>
    <row r="35" spans="1:13" ht="15" customHeight="1">
      <c r="A35" s="1389"/>
      <c r="B35" s="218" t="s">
        <v>2107</v>
      </c>
      <c r="C35" s="19">
        <v>7130620619</v>
      </c>
      <c r="D35" s="3" t="s">
        <v>1576</v>
      </c>
      <c r="E35" s="219">
        <v>3</v>
      </c>
      <c r="F35" s="4">
        <f>VLOOKUP(C35,'SOR RATE'!A:D,4,0)</f>
        <v>62</v>
      </c>
      <c r="G35" s="4">
        <f>F35*E35</f>
        <v>186</v>
      </c>
      <c r="H35" s="4"/>
      <c r="I35" s="447">
        <f>VLOOKUP(C35,'SOR RATE'!A:D,4,0)</f>
        <v>62</v>
      </c>
      <c r="J35" s="790"/>
      <c r="K35" s="796">
        <v>3.5</v>
      </c>
      <c r="L35" s="4">
        <f>VLOOKUP(C35,'SOR RATE'!A:D,4,0)</f>
        <v>62</v>
      </c>
      <c r="M35" s="4">
        <f t="shared" si="0"/>
        <v>217</v>
      </c>
    </row>
    <row r="36" spans="1:13" ht="16.5" customHeight="1">
      <c r="A36" s="1389"/>
      <c r="B36" s="218" t="s">
        <v>2108</v>
      </c>
      <c r="C36" s="19">
        <v>7130620625</v>
      </c>
      <c r="D36" s="3" t="s">
        <v>1576</v>
      </c>
      <c r="E36" s="219"/>
      <c r="F36" s="4">
        <f>VLOOKUP(C36,'SOR RATE'!A:D,4,0)</f>
        <v>61</v>
      </c>
      <c r="G36" s="4"/>
      <c r="H36" s="219">
        <v>10</v>
      </c>
      <c r="I36" s="447">
        <f>VLOOKUP(C36,'SOR RATE'!A:D,4,0)</f>
        <v>61</v>
      </c>
      <c r="J36" s="4">
        <f>I36*H36</f>
        <v>610</v>
      </c>
      <c r="K36" s="796"/>
      <c r="L36" s="4">
        <f>VLOOKUP(C36,'SOR RATE'!A:D,4,0)</f>
        <v>61</v>
      </c>
      <c r="M36" s="4"/>
    </row>
    <row r="37" spans="1:13" ht="18.75" customHeight="1">
      <c r="A37" s="1390"/>
      <c r="B37" s="218" t="s">
        <v>2109</v>
      </c>
      <c r="C37" s="19">
        <v>7130620627</v>
      </c>
      <c r="D37" s="3" t="s">
        <v>1576</v>
      </c>
      <c r="E37" s="219">
        <v>14</v>
      </c>
      <c r="F37" s="4">
        <f>VLOOKUP(C37,'SOR RATE'!A:D,4,0)</f>
        <v>61</v>
      </c>
      <c r="G37" s="4">
        <f>F37*E37</f>
        <v>854</v>
      </c>
      <c r="H37" s="219"/>
      <c r="I37" s="447">
        <f>VLOOKUP(C37,'SOR RATE'!A:D,4,0)</f>
        <v>61</v>
      </c>
      <c r="J37" s="4"/>
      <c r="K37" s="796">
        <v>14.5</v>
      </c>
      <c r="L37" s="4">
        <f>VLOOKUP(C37,'SOR RATE'!A:D,4,0)</f>
        <v>61</v>
      </c>
      <c r="M37" s="4">
        <f t="shared" si="0"/>
        <v>884.5</v>
      </c>
    </row>
    <row r="38" spans="1:13" ht="18.75" customHeight="1">
      <c r="A38" s="1388">
        <v>20</v>
      </c>
      <c r="B38" s="218" t="s">
        <v>1253</v>
      </c>
      <c r="C38" s="19"/>
      <c r="D38" s="620" t="s">
        <v>593</v>
      </c>
      <c r="E38" s="4"/>
      <c r="F38" s="6">
        <v>8369.31</v>
      </c>
      <c r="G38" s="4"/>
      <c r="H38" s="4"/>
      <c r="I38" s="6"/>
      <c r="J38" s="4"/>
      <c r="K38" s="4"/>
      <c r="L38" s="4"/>
      <c r="M38" s="4"/>
    </row>
    <row r="39" spans="1:13" ht="18.75" customHeight="1">
      <c r="A39" s="1389"/>
      <c r="B39" s="218" t="s">
        <v>1706</v>
      </c>
      <c r="C39" s="19">
        <v>7130870045</v>
      </c>
      <c r="D39" s="3" t="s">
        <v>1576</v>
      </c>
      <c r="E39" s="19">
        <v>49</v>
      </c>
      <c r="F39" s="4">
        <f>VLOOKUP(C39,'SOR RATE'!A:D,4,0)/1000</f>
        <v>52.969</v>
      </c>
      <c r="G39" s="4">
        <f aca="true" t="shared" si="5" ref="G39:G47">F39*E39</f>
        <v>2595.481</v>
      </c>
      <c r="H39" s="19">
        <v>49</v>
      </c>
      <c r="I39" s="447">
        <f>VLOOKUP(C39,'SOR RATE'!A:D,4,0)/1000</f>
        <v>52.969</v>
      </c>
      <c r="J39" s="4">
        <f aca="true" t="shared" si="6" ref="J39:J47">I39*H39</f>
        <v>2595.481</v>
      </c>
      <c r="K39" s="219">
        <v>49</v>
      </c>
      <c r="L39" s="4">
        <f>VLOOKUP(C39,'SOR RATE'!A:D,4,0)/1000</f>
        <v>52.969</v>
      </c>
      <c r="M39" s="4">
        <f t="shared" si="0"/>
        <v>2595.481</v>
      </c>
    </row>
    <row r="40" spans="1:13" ht="17.25" customHeight="1">
      <c r="A40" s="1389"/>
      <c r="B40" s="218" t="s">
        <v>1707</v>
      </c>
      <c r="C40" s="19">
        <v>7130870043</v>
      </c>
      <c r="D40" s="3" t="s">
        <v>1576</v>
      </c>
      <c r="E40" s="19">
        <v>20</v>
      </c>
      <c r="F40" s="4">
        <f>VLOOKUP(C40,'SOR RATE'!A:D,4,0)/1000</f>
        <v>52.969</v>
      </c>
      <c r="G40" s="4">
        <f t="shared" si="5"/>
        <v>1059.38</v>
      </c>
      <c r="H40" s="19">
        <v>20</v>
      </c>
      <c r="I40" s="447">
        <f>VLOOKUP(C40,'SOR RATE'!A:D,4,0)/1000</f>
        <v>52.969</v>
      </c>
      <c r="J40" s="4">
        <f t="shared" si="6"/>
        <v>1059.38</v>
      </c>
      <c r="K40" s="219">
        <v>20</v>
      </c>
      <c r="L40" s="4">
        <f>VLOOKUP(C40,'SOR RATE'!A:D,4,0)/1000</f>
        <v>52.969</v>
      </c>
      <c r="M40" s="4">
        <f t="shared" si="0"/>
        <v>1059.38</v>
      </c>
    </row>
    <row r="41" spans="1:13" ht="17.25" customHeight="1">
      <c r="A41" s="1389"/>
      <c r="B41" s="218" t="s">
        <v>1034</v>
      </c>
      <c r="C41" s="19">
        <v>7130897759</v>
      </c>
      <c r="D41" s="3" t="s">
        <v>83</v>
      </c>
      <c r="E41" s="19">
        <v>1</v>
      </c>
      <c r="F41" s="4">
        <f>VLOOKUP(C41,'SOR RATE'!A:D,4,0)</f>
        <v>2739.85</v>
      </c>
      <c r="G41" s="4">
        <f t="shared" si="5"/>
        <v>2739.85</v>
      </c>
      <c r="H41" s="19">
        <v>1</v>
      </c>
      <c r="I41" s="447">
        <f>VLOOKUP(C41,'SOR RATE'!A:D,4,0)</f>
        <v>2739.85</v>
      </c>
      <c r="J41" s="4">
        <f t="shared" si="6"/>
        <v>2739.85</v>
      </c>
      <c r="K41" s="219">
        <v>1</v>
      </c>
      <c r="L41" s="4">
        <f>VLOOKUP(C41,'SOR RATE'!A:D,4,0)</f>
        <v>2739.85</v>
      </c>
      <c r="M41" s="4">
        <f>K41*L41</f>
        <v>2739.85</v>
      </c>
    </row>
    <row r="42" spans="1:15" ht="18.75" customHeight="1">
      <c r="A42" s="1389"/>
      <c r="B42" s="218" t="s">
        <v>1256</v>
      </c>
      <c r="C42" s="19">
        <v>7130810692</v>
      </c>
      <c r="D42" s="3" t="s">
        <v>83</v>
      </c>
      <c r="E42" s="19">
        <v>3</v>
      </c>
      <c r="F42" s="4">
        <f>VLOOKUP(C42,'SOR RATE'!A:D,4,0)</f>
        <v>249.66</v>
      </c>
      <c r="G42" s="4">
        <f t="shared" si="5"/>
        <v>748.98</v>
      </c>
      <c r="H42" s="19">
        <v>3</v>
      </c>
      <c r="I42" s="447">
        <f>VLOOKUP(C42,'SOR RATE'!A:D,4,0)</f>
        <v>249.66</v>
      </c>
      <c r="J42" s="4">
        <f t="shared" si="6"/>
        <v>748.98</v>
      </c>
      <c r="K42" s="219">
        <v>3</v>
      </c>
      <c r="L42" s="4">
        <f>VLOOKUP(C42,'SOR RATE'!A:D,4,0)</f>
        <v>249.66</v>
      </c>
      <c r="M42" s="4">
        <f t="shared" si="0"/>
        <v>748.98</v>
      </c>
      <c r="O42" s="120"/>
    </row>
    <row r="43" spans="1:13" ht="19.5" customHeight="1">
      <c r="A43" s="1389"/>
      <c r="B43" s="218" t="s">
        <v>1257</v>
      </c>
      <c r="C43" s="19">
        <v>7130620625</v>
      </c>
      <c r="D43" s="3" t="s">
        <v>87</v>
      </c>
      <c r="E43" s="796">
        <v>1.2</v>
      </c>
      <c r="F43" s="4">
        <f>VLOOKUP(C43,'SOR RATE'!A:D,4,0)</f>
        <v>61</v>
      </c>
      <c r="G43" s="4">
        <f t="shared" si="5"/>
        <v>73.2</v>
      </c>
      <c r="H43" s="796">
        <v>1.2</v>
      </c>
      <c r="I43" s="447">
        <f>VLOOKUP(C43,'SOR RATE'!A:D,4,0)</f>
        <v>61</v>
      </c>
      <c r="J43" s="4">
        <f t="shared" si="6"/>
        <v>73.2</v>
      </c>
      <c r="K43" s="796">
        <v>1.2</v>
      </c>
      <c r="L43" s="4">
        <f>VLOOKUP(C43,'SOR RATE'!A:D,4,0)</f>
        <v>61</v>
      </c>
      <c r="M43" s="4">
        <f t="shared" si="0"/>
        <v>73.2</v>
      </c>
    </row>
    <row r="44" spans="1:13" ht="18" customHeight="1">
      <c r="A44" s="1389"/>
      <c r="B44" s="218" t="s">
        <v>207</v>
      </c>
      <c r="C44" s="19">
        <v>7130620013</v>
      </c>
      <c r="D44" s="3" t="s">
        <v>83</v>
      </c>
      <c r="E44" s="19">
        <v>4</v>
      </c>
      <c r="F44" s="4">
        <f>VLOOKUP(C44,'SOR RATE'!A:D,4,0)</f>
        <v>116.46</v>
      </c>
      <c r="G44" s="4">
        <f t="shared" si="5"/>
        <v>465.84</v>
      </c>
      <c r="H44" s="19">
        <v>4</v>
      </c>
      <c r="I44" s="447">
        <f>VLOOKUP(C44,'SOR RATE'!A:D,4,0)</f>
        <v>116.46</v>
      </c>
      <c r="J44" s="4">
        <f t="shared" si="6"/>
        <v>465.84</v>
      </c>
      <c r="K44" s="219">
        <v>4</v>
      </c>
      <c r="L44" s="4">
        <f>VLOOKUP(C44,'SOR RATE'!A:D,4,0)</f>
        <v>116.46</v>
      </c>
      <c r="M44" s="4">
        <f t="shared" si="0"/>
        <v>465.84</v>
      </c>
    </row>
    <row r="45" spans="1:13" ht="18" customHeight="1">
      <c r="A45" s="1389"/>
      <c r="B45" s="218" t="s">
        <v>1248</v>
      </c>
      <c r="C45" s="19">
        <v>7130860033</v>
      </c>
      <c r="D45" s="3" t="s">
        <v>83</v>
      </c>
      <c r="E45" s="19">
        <v>2</v>
      </c>
      <c r="F45" s="4">
        <f>VLOOKUP(C45,'SOR RATE'!A:D,4,0)</f>
        <v>629</v>
      </c>
      <c r="G45" s="4">
        <f t="shared" si="5"/>
        <v>1258</v>
      </c>
      <c r="H45" s="19">
        <v>2</v>
      </c>
      <c r="I45" s="447">
        <f>VLOOKUP(C45,'SOR RATE'!A:D,4,0)</f>
        <v>629</v>
      </c>
      <c r="J45" s="4">
        <f t="shared" si="6"/>
        <v>1258</v>
      </c>
      <c r="K45" s="219">
        <v>2</v>
      </c>
      <c r="L45" s="4">
        <f>VLOOKUP(C45,'SOR RATE'!A:D,4,0)</f>
        <v>629</v>
      </c>
      <c r="M45" s="4">
        <f t="shared" si="0"/>
        <v>1258</v>
      </c>
    </row>
    <row r="46" spans="1:13" ht="21" customHeight="1">
      <c r="A46" s="1389"/>
      <c r="B46" s="218" t="s">
        <v>1258</v>
      </c>
      <c r="C46" s="19">
        <v>7130860076</v>
      </c>
      <c r="D46" s="3" t="s">
        <v>1576</v>
      </c>
      <c r="E46" s="19">
        <v>17</v>
      </c>
      <c r="F46" s="4">
        <f>VLOOKUP(C46,'SOR RATE'!A:D,4,0)/1000</f>
        <v>58.65</v>
      </c>
      <c r="G46" s="4">
        <f t="shared" si="5"/>
        <v>997.05</v>
      </c>
      <c r="H46" s="19">
        <v>17</v>
      </c>
      <c r="I46" s="447">
        <f>VLOOKUP(C46,'SOR RATE'!A:D,4,0)/1000</f>
        <v>58.65</v>
      </c>
      <c r="J46" s="4">
        <f t="shared" si="6"/>
        <v>997.05</v>
      </c>
      <c r="K46" s="219">
        <v>17</v>
      </c>
      <c r="L46" s="4">
        <f>VLOOKUP(C46,'SOR RATE'!A:D,4,0)/1000</f>
        <v>58.65</v>
      </c>
      <c r="M46" s="4">
        <f t="shared" si="0"/>
        <v>997.05</v>
      </c>
    </row>
    <row r="47" spans="1:13" ht="18.75" customHeight="1">
      <c r="A47" s="1390"/>
      <c r="B47" s="218" t="s">
        <v>2110</v>
      </c>
      <c r="C47" s="19">
        <v>7130620619</v>
      </c>
      <c r="D47" s="3" t="s">
        <v>1576</v>
      </c>
      <c r="E47" s="19">
        <v>1.5</v>
      </c>
      <c r="F47" s="4">
        <f>VLOOKUP(C47,'SOR RATE'!A:D,4,0)</f>
        <v>62</v>
      </c>
      <c r="G47" s="4">
        <f t="shared" si="5"/>
        <v>93</v>
      </c>
      <c r="H47" s="19">
        <v>1.5</v>
      </c>
      <c r="I47" s="447">
        <f>VLOOKUP(C47,'SOR RATE'!A:D,4,0)</f>
        <v>62</v>
      </c>
      <c r="J47" s="4">
        <f t="shared" si="6"/>
        <v>93</v>
      </c>
      <c r="K47" s="796">
        <v>1.5</v>
      </c>
      <c r="L47" s="4">
        <f>VLOOKUP(C47,'SOR RATE'!A:D,4,0)</f>
        <v>62</v>
      </c>
      <c r="M47" s="4">
        <f t="shared" si="0"/>
        <v>93</v>
      </c>
    </row>
    <row r="48" spans="1:16" s="122" customFormat="1" ht="15.75">
      <c r="A48" s="116">
        <v>21</v>
      </c>
      <c r="B48" s="799" t="s">
        <v>1052</v>
      </c>
      <c r="C48" s="116"/>
      <c r="D48" s="116"/>
      <c r="E48" s="619"/>
      <c r="F48" s="6"/>
      <c r="G48" s="6">
        <f>SUM(G10:G47)</f>
        <v>218070.53600000005</v>
      </c>
      <c r="H48" s="794"/>
      <c r="I48" s="619"/>
      <c r="J48" s="6">
        <f>SUM(J10:J47)</f>
        <v>353637.321</v>
      </c>
      <c r="K48" s="6"/>
      <c r="L48" s="6"/>
      <c r="M48" s="6">
        <f>SUM(M10:M47)</f>
        <v>238448.03600000005</v>
      </c>
      <c r="N48" s="193"/>
      <c r="O48" s="200"/>
      <c r="P48" s="121"/>
    </row>
    <row r="49" spans="1:15" ht="19.5" customHeight="1">
      <c r="A49" s="19">
        <v>22</v>
      </c>
      <c r="B49" s="218" t="s">
        <v>1051</v>
      </c>
      <c r="C49" s="448"/>
      <c r="D49" s="607"/>
      <c r="E49" s="607"/>
      <c r="F49" s="19">
        <v>0.09</v>
      </c>
      <c r="G49" s="4">
        <f>G48*F49</f>
        <v>19626.348240000003</v>
      </c>
      <c r="H49" s="449"/>
      <c r="I49" s="19">
        <v>0.09</v>
      </c>
      <c r="J49" s="4">
        <f>J48*I49</f>
        <v>31827.35889</v>
      </c>
      <c r="K49" s="4"/>
      <c r="L49" s="4">
        <v>0.09</v>
      </c>
      <c r="M49" s="4">
        <f>M48*L49</f>
        <v>21460.323240000005</v>
      </c>
      <c r="N49" s="193"/>
      <c r="O49" s="200"/>
    </row>
    <row r="50" spans="1:14" ht="35.25" customHeight="1">
      <c r="A50" s="19">
        <v>23</v>
      </c>
      <c r="B50" s="218" t="s">
        <v>91</v>
      </c>
      <c r="C50" s="19"/>
      <c r="D50" s="3" t="s">
        <v>1571</v>
      </c>
      <c r="E50" s="219">
        <v>2</v>
      </c>
      <c r="F50" s="4">
        <f>1664*1.27*1.0891*1.086275*1.1112*1.0685*1.06217</f>
        <v>3153.010200829536</v>
      </c>
      <c r="G50" s="4">
        <f>F50*E50</f>
        <v>6306.020401659072</v>
      </c>
      <c r="H50" s="796">
        <v>8</v>
      </c>
      <c r="I50" s="4">
        <f>+F50</f>
        <v>3153.010200829536</v>
      </c>
      <c r="J50" s="4">
        <f>I50*H50</f>
        <v>25224.08160663629</v>
      </c>
      <c r="K50" s="796">
        <v>8</v>
      </c>
      <c r="L50" s="4">
        <f>+F50</f>
        <v>3153.010200829536</v>
      </c>
      <c r="M50" s="4">
        <f>K50*L50</f>
        <v>25224.08160663629</v>
      </c>
      <c r="N50" s="589" t="s">
        <v>19</v>
      </c>
    </row>
    <row r="51" spans="1:17" ht="35.25" customHeight="1">
      <c r="A51" s="19">
        <v>24</v>
      </c>
      <c r="B51" s="218" t="s">
        <v>517</v>
      </c>
      <c r="C51" s="19"/>
      <c r="D51" s="3" t="s">
        <v>83</v>
      </c>
      <c r="E51" s="219">
        <v>10</v>
      </c>
      <c r="F51" s="4">
        <f>165*1.11*1.0891*1.086275*1.1112*1.0685*1.06217</f>
        <v>273.2594915401317</v>
      </c>
      <c r="G51" s="4">
        <f>F51*E51</f>
        <v>2732.594915401317</v>
      </c>
      <c r="H51" s="796">
        <v>0</v>
      </c>
      <c r="I51" s="4">
        <v>0</v>
      </c>
      <c r="J51" s="4">
        <v>0</v>
      </c>
      <c r="K51" s="796">
        <v>0</v>
      </c>
      <c r="L51" s="4">
        <v>0</v>
      </c>
      <c r="M51" s="4">
        <v>0</v>
      </c>
      <c r="N51" s="522" t="s">
        <v>519</v>
      </c>
      <c r="O51" s="559" t="s">
        <v>1284</v>
      </c>
      <c r="Q51" s="47"/>
    </row>
    <row r="52" spans="1:15" s="62" customFormat="1" ht="30.75" customHeight="1">
      <c r="A52" s="19">
        <v>25</v>
      </c>
      <c r="B52" s="218" t="s">
        <v>127</v>
      </c>
      <c r="C52" s="116"/>
      <c r="D52" s="800"/>
      <c r="E52" s="6"/>
      <c r="F52" s="6"/>
      <c r="G52" s="4">
        <v>33283.35</v>
      </c>
      <c r="H52" s="4"/>
      <c r="I52" s="4"/>
      <c r="J52" s="4">
        <v>38942.43</v>
      </c>
      <c r="K52" s="4"/>
      <c r="L52" s="4"/>
      <c r="M52" s="4">
        <v>37069</v>
      </c>
      <c r="N52" s="118"/>
      <c r="O52" s="53"/>
    </row>
    <row r="53" spans="1:13" ht="64.5" customHeight="1">
      <c r="A53" s="19">
        <v>26</v>
      </c>
      <c r="B53" s="218" t="s">
        <v>128</v>
      </c>
      <c r="C53" s="19"/>
      <c r="D53" s="3"/>
      <c r="E53" s="4"/>
      <c r="F53" s="4"/>
      <c r="G53" s="4">
        <f>1.1*1.1*5819*1.2*1.1*1.1797*1.1402*0.9368*0.87</f>
        <v>10188.879111677878</v>
      </c>
      <c r="H53" s="4"/>
      <c r="I53" s="4"/>
      <c r="J53" s="4">
        <f>1.1*1.1*5819*1.2*1.1*1.1797*1.1402*0.9368*0.87</f>
        <v>10188.879111677878</v>
      </c>
      <c r="K53" s="4"/>
      <c r="L53" s="4"/>
      <c r="M53" s="4">
        <f>1.1*1.1*5819*1.2*1.1*1.1797*1.1402*0.9368*0.87</f>
        <v>10188.879111677878</v>
      </c>
    </row>
    <row r="54" spans="1:15" ht="17.25" customHeight="1">
      <c r="A54" s="116">
        <v>27</v>
      </c>
      <c r="B54" s="799" t="s">
        <v>1053</v>
      </c>
      <c r="C54" s="19"/>
      <c r="D54" s="3"/>
      <c r="E54" s="4"/>
      <c r="F54" s="4"/>
      <c r="G54" s="6">
        <f>SUM(G48:G53)</f>
        <v>290207.7286687383</v>
      </c>
      <c r="H54" s="6"/>
      <c r="I54" s="6"/>
      <c r="J54" s="6">
        <f>SUM(J48:J53)</f>
        <v>459820.0706083141</v>
      </c>
      <c r="K54" s="6"/>
      <c r="L54" s="6"/>
      <c r="M54" s="6">
        <f>SUM(M48:M53)</f>
        <v>332390.3199583142</v>
      </c>
      <c r="N54" s="213"/>
      <c r="O54" s="213"/>
    </row>
    <row r="55" spans="1:15" ht="51" customHeight="1">
      <c r="A55" s="19">
        <v>28</v>
      </c>
      <c r="B55" s="218" t="s">
        <v>1054</v>
      </c>
      <c r="C55" s="19"/>
      <c r="D55" s="3"/>
      <c r="E55" s="4"/>
      <c r="F55" s="4">
        <v>0.11</v>
      </c>
      <c r="G55" s="4">
        <f>G48*F55</f>
        <v>23987.758960000006</v>
      </c>
      <c r="H55" s="4"/>
      <c r="I55" s="4">
        <v>0.11</v>
      </c>
      <c r="J55" s="4">
        <f>J48*I55</f>
        <v>38900.10531</v>
      </c>
      <c r="K55" s="4"/>
      <c r="L55" s="4">
        <v>0.11</v>
      </c>
      <c r="M55" s="4">
        <f>M48*L55</f>
        <v>26229.283960000004</v>
      </c>
      <c r="N55" s="213"/>
      <c r="O55" s="213"/>
    </row>
    <row r="56" spans="1:13" ht="30.75" customHeight="1">
      <c r="A56" s="19">
        <v>29</v>
      </c>
      <c r="B56" s="218" t="s">
        <v>1249</v>
      </c>
      <c r="C56" s="19"/>
      <c r="D56" s="3"/>
      <c r="E56" s="4"/>
      <c r="F56" s="4"/>
      <c r="G56" s="4">
        <f>G54+G55</f>
        <v>314195.4876287383</v>
      </c>
      <c r="H56" s="4"/>
      <c r="I56" s="4"/>
      <c r="J56" s="4">
        <f>J54+J55</f>
        <v>498720.17591831414</v>
      </c>
      <c r="K56" s="4"/>
      <c r="L56" s="4"/>
      <c r="M56" s="4">
        <f>M54+M55</f>
        <v>358619.6039183142</v>
      </c>
    </row>
    <row r="57" spans="1:13" s="62" customFormat="1" ht="35.25" customHeight="1">
      <c r="A57" s="116">
        <v>30</v>
      </c>
      <c r="B57" s="801" t="s">
        <v>1250</v>
      </c>
      <c r="C57" s="116"/>
      <c r="D57" s="620"/>
      <c r="E57" s="6"/>
      <c r="F57" s="6"/>
      <c r="G57" s="6">
        <f>ROUND(G56,0)</f>
        <v>314195</v>
      </c>
      <c r="H57" s="6"/>
      <c r="I57" s="6"/>
      <c r="J57" s="6">
        <f>ROUND(J56,0)</f>
        <v>498720</v>
      </c>
      <c r="K57" s="6"/>
      <c r="L57" s="6"/>
      <c r="M57" s="6">
        <f>ROUND(M56,0)</f>
        <v>358620</v>
      </c>
    </row>
    <row r="58" spans="1:13" ht="20.25" customHeight="1">
      <c r="A58" s="1386" t="s">
        <v>242</v>
      </c>
      <c r="B58" s="1387"/>
      <c r="C58" s="19"/>
      <c r="D58" s="3"/>
      <c r="E58" s="4"/>
      <c r="F58" s="4"/>
      <c r="G58" s="4"/>
      <c r="H58" s="4"/>
      <c r="I58" s="4"/>
      <c r="J58" s="4"/>
      <c r="K58" s="53"/>
      <c r="L58" s="53"/>
      <c r="M58" s="53"/>
    </row>
    <row r="59" spans="1:13" ht="18.75" customHeight="1">
      <c r="A59" s="3">
        <v>1</v>
      </c>
      <c r="B59" s="1382" t="s">
        <v>1442</v>
      </c>
      <c r="C59" s="1382"/>
      <c r="D59" s="1382"/>
      <c r="E59" s="1382"/>
      <c r="F59" s="1382"/>
      <c r="G59" s="1382"/>
      <c r="H59" s="1382"/>
      <c r="I59" s="1382"/>
      <c r="J59" s="1382"/>
      <c r="K59" s="426"/>
      <c r="L59" s="426"/>
      <c r="M59" s="426"/>
    </row>
    <row r="60" spans="1:13" ht="16.5" customHeight="1">
      <c r="A60" s="3">
        <v>2</v>
      </c>
      <c r="B60" s="1382" t="s">
        <v>130</v>
      </c>
      <c r="C60" s="1382"/>
      <c r="D60" s="1382"/>
      <c r="E60" s="1382"/>
      <c r="F60" s="1382"/>
      <c r="G60" s="1382"/>
      <c r="H60" s="1382"/>
      <c r="I60" s="1382"/>
      <c r="J60" s="1382"/>
      <c r="K60" s="426"/>
      <c r="L60" s="426"/>
      <c r="M60" s="426"/>
    </row>
    <row r="61" spans="1:13" ht="27.75" customHeight="1">
      <c r="A61" s="172"/>
      <c r="B61" s="86"/>
      <c r="C61" s="86"/>
      <c r="D61" s="86"/>
      <c r="E61" s="86"/>
      <c r="F61" s="86"/>
      <c r="G61" s="1"/>
      <c r="H61" s="86"/>
      <c r="I61" s="86"/>
      <c r="J61" s="86"/>
      <c r="K61" s="86"/>
      <c r="L61" s="86"/>
      <c r="M61" s="86"/>
    </row>
    <row r="62" spans="7:13" ht="17.25" customHeight="1">
      <c r="G62" s="115"/>
      <c r="H62" s="1313"/>
      <c r="I62" s="115"/>
      <c r="J62" s="115"/>
      <c r="K62" s="115"/>
      <c r="L62" s="115"/>
      <c r="M62" s="115"/>
    </row>
    <row r="78" spans="2:5" ht="21" customHeight="1">
      <c r="B78" s="1375" t="s">
        <v>20</v>
      </c>
      <c r="C78" s="1375"/>
      <c r="D78" s="1375"/>
      <c r="E78" s="1375"/>
    </row>
    <row r="80" spans="1:13" ht="36.75" customHeight="1">
      <c r="A80" s="3" t="s">
        <v>1583</v>
      </c>
      <c r="B80" s="218" t="s">
        <v>1580</v>
      </c>
      <c r="C80" s="19">
        <v>7130601072</v>
      </c>
      <c r="D80" s="3" t="s">
        <v>1576</v>
      </c>
      <c r="E80" s="53"/>
      <c r="F80" s="53"/>
      <c r="G80" s="53"/>
      <c r="H80" s="605"/>
      <c r="I80" s="606"/>
      <c r="J80" s="53"/>
      <c r="K80" s="53"/>
      <c r="L80" s="53"/>
      <c r="M80" s="53"/>
    </row>
    <row r="81" spans="1:13" ht="15">
      <c r="A81" s="1376">
        <v>6</v>
      </c>
      <c r="B81" s="218" t="s">
        <v>1743</v>
      </c>
      <c r="C81" s="448"/>
      <c r="D81" s="607"/>
      <c r="E81" s="89"/>
      <c r="F81" s="89"/>
      <c r="G81" s="89"/>
      <c r="H81" s="89"/>
      <c r="I81" s="89"/>
      <c r="J81" s="89"/>
      <c r="K81" s="605"/>
      <c r="L81" s="53"/>
      <c r="M81" s="53"/>
    </row>
    <row r="82" spans="1:13" ht="15">
      <c r="A82" s="1377"/>
      <c r="B82" s="218" t="s">
        <v>2119</v>
      </c>
      <c r="C82" s="19">
        <v>7130810201</v>
      </c>
      <c r="D82" s="3" t="s">
        <v>83</v>
      </c>
      <c r="E82" s="605"/>
      <c r="F82" s="53"/>
      <c r="G82" s="53"/>
      <c r="H82" s="605"/>
      <c r="I82" s="606"/>
      <c r="J82" s="53"/>
      <c r="K82" s="605"/>
      <c r="L82" s="53"/>
      <c r="M82" s="53"/>
    </row>
    <row r="83" spans="1:13" ht="15">
      <c r="A83" s="1378"/>
      <c r="B83" s="218" t="s">
        <v>2120</v>
      </c>
      <c r="C83" s="19">
        <v>7130810251</v>
      </c>
      <c r="D83" s="3" t="s">
        <v>83</v>
      </c>
      <c r="E83" s="605"/>
      <c r="F83" s="53"/>
      <c r="G83" s="53"/>
      <c r="H83" s="605"/>
      <c r="I83" s="606"/>
      <c r="J83" s="53"/>
      <c r="K83" s="605"/>
      <c r="L83" s="53"/>
      <c r="M83" s="53"/>
    </row>
    <row r="84" spans="1:13" ht="15">
      <c r="A84" s="1379">
        <v>12</v>
      </c>
      <c r="B84" s="218" t="s">
        <v>497</v>
      </c>
      <c r="C84" s="19">
        <v>7130810201</v>
      </c>
      <c r="D84" s="3" t="s">
        <v>83</v>
      </c>
      <c r="E84" s="605"/>
      <c r="F84" s="53"/>
      <c r="G84" s="53"/>
      <c r="H84" s="605"/>
      <c r="I84" s="606"/>
      <c r="J84" s="53"/>
      <c r="K84" s="53"/>
      <c r="L84" s="53"/>
      <c r="M84" s="53"/>
    </row>
    <row r="85" spans="1:13" ht="15">
      <c r="A85" s="1379"/>
      <c r="B85" s="218" t="s">
        <v>498</v>
      </c>
      <c r="C85" s="19">
        <v>7130810251</v>
      </c>
      <c r="D85" s="3" t="s">
        <v>83</v>
      </c>
      <c r="E85" s="605"/>
      <c r="F85" s="53"/>
      <c r="G85" s="53"/>
      <c r="H85" s="605"/>
      <c r="I85" s="606"/>
      <c r="J85" s="53"/>
      <c r="K85" s="53"/>
      <c r="L85" s="53"/>
      <c r="M85" s="53"/>
    </row>
  </sheetData>
  <sheetProtection/>
  <mergeCells count="20">
    <mergeCell ref="B3:J3"/>
    <mergeCell ref="A7:A8"/>
    <mergeCell ref="K7:M7"/>
    <mergeCell ref="H7:J7"/>
    <mergeCell ref="A58:B58"/>
    <mergeCell ref="A33:A37"/>
    <mergeCell ref="A14:A16"/>
    <mergeCell ref="E7:G7"/>
    <mergeCell ref="A38:A47"/>
    <mergeCell ref="A22:A25"/>
    <mergeCell ref="B78:E78"/>
    <mergeCell ref="A81:A83"/>
    <mergeCell ref="A84:A85"/>
    <mergeCell ref="C1:G1"/>
    <mergeCell ref="A4:J4"/>
    <mergeCell ref="B60:J60"/>
    <mergeCell ref="B59:J59"/>
    <mergeCell ref="B7:B8"/>
    <mergeCell ref="D7:D8"/>
    <mergeCell ref="C7:C8"/>
  </mergeCells>
  <printOptions gridLines="1" horizontalCentered="1"/>
  <pageMargins left="0.68" right="0" top="0.68" bottom="0.38" header="0.51" footer="0"/>
  <pageSetup fitToHeight="3" horizontalDpi="600" verticalDpi="600" orientation="landscape" paperSize="9" scale="90" r:id="rId1"/>
  <rowBreaks count="2" manualBreakCount="2">
    <brk id="23" max="14" man="1"/>
    <brk id="46" max="255" man="1"/>
  </rowBreaks>
  <ignoredErrors>
    <ignoredError sqref="I30 F30 F46 I46" formula="1"/>
    <ignoredError sqref="A11" numberStoredAsText="1"/>
  </ignoredErrors>
</worksheet>
</file>

<file path=xl/worksheets/sheet4.xml><?xml version="1.0" encoding="utf-8"?>
<worksheet xmlns="http://schemas.openxmlformats.org/spreadsheetml/2006/main" xmlns:r="http://schemas.openxmlformats.org/officeDocument/2006/relationships">
  <sheetPr>
    <tabColor indexed="15"/>
  </sheetPr>
  <dimension ref="A1:R84"/>
  <sheetViews>
    <sheetView zoomScale="85" zoomScaleNormal="85" zoomScalePageLayoutView="0" workbookViewId="0" topLeftCell="A1">
      <pane xSplit="2" ySplit="7" topLeftCell="C29" activePane="bottomRight" state="frozen"/>
      <selection pane="topLeft" activeCell="A1" sqref="A1"/>
      <selection pane="topRight" activeCell="C1" sqref="C1"/>
      <selection pane="bottomLeft" activeCell="A8" sqref="A8"/>
      <selection pane="bottomRight" activeCell="J6" sqref="J6"/>
    </sheetView>
  </sheetViews>
  <sheetFormatPr defaultColWidth="9.140625" defaultRowHeight="12.75"/>
  <cols>
    <col min="1" max="1" width="5.00390625" style="2" bestFit="1" customWidth="1"/>
    <col min="2" max="2" width="51.28125" style="2" customWidth="1"/>
    <col min="3" max="3" width="19.421875" style="2" customWidth="1"/>
    <col min="4" max="4" width="8.140625" style="2" customWidth="1"/>
    <col min="5" max="5" width="11.28125" style="2" bestFit="1" customWidth="1"/>
    <col min="6" max="6" width="8.57421875" style="2" bestFit="1" customWidth="1"/>
    <col min="7" max="7" width="14.57421875" style="2" customWidth="1"/>
    <col min="8" max="8" width="15.57421875" style="2" customWidth="1"/>
    <col min="9" max="9" width="26.421875" style="2" customWidth="1"/>
    <col min="10" max="10" width="9.140625" style="2" customWidth="1"/>
    <col min="11" max="11" width="11.7109375" style="2" customWidth="1"/>
    <col min="12" max="12" width="13.57421875" style="2" customWidth="1"/>
    <col min="13" max="16384" width="9.140625" style="2" customWidth="1"/>
  </cols>
  <sheetData>
    <row r="1" spans="2:7" ht="18">
      <c r="B1" s="1400" t="s">
        <v>508</v>
      </c>
      <c r="C1" s="1400"/>
      <c r="D1" s="1400"/>
      <c r="E1" s="1400"/>
      <c r="F1" s="80"/>
      <c r="G1" s="80"/>
    </row>
    <row r="2" spans="3:7" ht="14.25" customHeight="1">
      <c r="C2" s="81"/>
      <c r="D2" s="81"/>
      <c r="E2" s="81"/>
      <c r="F2" s="81"/>
      <c r="G2" s="81"/>
    </row>
    <row r="3" spans="2:8" ht="22.5" customHeight="1">
      <c r="B3" s="1403" t="s">
        <v>93</v>
      </c>
      <c r="C3" s="1403"/>
      <c r="D3" s="1403"/>
      <c r="E3" s="1403"/>
      <c r="F3" s="1403"/>
      <c r="G3" s="1403"/>
      <c r="H3" s="214" t="s">
        <v>244</v>
      </c>
    </row>
    <row r="4" spans="1:7" ht="15.75">
      <c r="A4" s="123"/>
      <c r="B4" s="123"/>
      <c r="C4" s="123"/>
      <c r="D4" s="123"/>
      <c r="E4" s="123"/>
      <c r="F4" s="123"/>
      <c r="G4" s="123"/>
    </row>
    <row r="5" spans="1:8" ht="52.5" customHeight="1">
      <c r="A5" s="1401" t="s">
        <v>2104</v>
      </c>
      <c r="B5" s="1383" t="s">
        <v>79</v>
      </c>
      <c r="C5" s="1384" t="s">
        <v>88</v>
      </c>
      <c r="D5" s="1383" t="s">
        <v>80</v>
      </c>
      <c r="E5" s="1404" t="s">
        <v>1326</v>
      </c>
      <c r="F5" s="1405" t="s">
        <v>86</v>
      </c>
      <c r="G5" s="429" t="s">
        <v>1590</v>
      </c>
      <c r="H5" s="429" t="s">
        <v>95</v>
      </c>
    </row>
    <row r="6" spans="1:8" ht="18.75" customHeight="1">
      <c r="A6" s="1402"/>
      <c r="B6" s="1383"/>
      <c r="C6" s="1385"/>
      <c r="D6" s="1383"/>
      <c r="E6" s="1404"/>
      <c r="F6" s="1405"/>
      <c r="G6" s="124" t="s">
        <v>2047</v>
      </c>
      <c r="H6" s="124" t="s">
        <v>2047</v>
      </c>
    </row>
    <row r="7" spans="1:8" ht="15.75">
      <c r="A7" s="431" t="s">
        <v>1581</v>
      </c>
      <c r="B7" s="431" t="s">
        <v>1582</v>
      </c>
      <c r="C7" s="431" t="s">
        <v>1583</v>
      </c>
      <c r="D7" s="431">
        <v>4</v>
      </c>
      <c r="E7" s="431">
        <v>5</v>
      </c>
      <c r="F7" s="431" t="s">
        <v>1584</v>
      </c>
      <c r="G7" s="431">
        <v>7</v>
      </c>
      <c r="H7" s="431">
        <v>8</v>
      </c>
    </row>
    <row r="8" spans="1:8" ht="21.75" customHeight="1">
      <c r="A8" s="446">
        <v>1</v>
      </c>
      <c r="B8" s="802" t="s">
        <v>1591</v>
      </c>
      <c r="C8" s="19">
        <v>7130800033</v>
      </c>
      <c r="D8" s="452" t="s">
        <v>83</v>
      </c>
      <c r="E8" s="4">
        <f>VLOOKUP(C8,'SOR RATE'!A:D,4,0)</f>
        <v>2993</v>
      </c>
      <c r="F8" s="452">
        <v>4</v>
      </c>
      <c r="G8" s="454">
        <f>E8*F8</f>
        <v>11972</v>
      </c>
      <c r="H8" s="803"/>
    </row>
    <row r="9" spans="1:12" ht="37.5" customHeight="1">
      <c r="A9" s="446">
        <v>2</v>
      </c>
      <c r="B9" s="802" t="s">
        <v>94</v>
      </c>
      <c r="C9" s="19">
        <v>7130601958</v>
      </c>
      <c r="D9" s="452" t="s">
        <v>1576</v>
      </c>
      <c r="E9" s="4">
        <f>VLOOKUP(C9,'SOR RATE'!A:D,4,0)/1000</f>
        <v>32.575</v>
      </c>
      <c r="F9" s="796">
        <v>1929.2</v>
      </c>
      <c r="G9" s="453"/>
      <c r="H9" s="4">
        <f>E9*F9</f>
        <v>62843.69000000001</v>
      </c>
      <c r="I9" s="98"/>
      <c r="J9" s="98"/>
      <c r="K9" s="98"/>
      <c r="L9" s="98"/>
    </row>
    <row r="10" spans="1:18" ht="34.5" customHeight="1">
      <c r="A10" s="446">
        <v>3</v>
      </c>
      <c r="B10" s="804" t="s">
        <v>1285</v>
      </c>
      <c r="C10" s="19">
        <v>7130810608</v>
      </c>
      <c r="D10" s="446" t="s">
        <v>1330</v>
      </c>
      <c r="E10" s="4">
        <f>VLOOKUP(C10,'SOR RATE'!A:D,4,0)</f>
        <v>4444.09</v>
      </c>
      <c r="F10" s="446">
        <v>2</v>
      </c>
      <c r="G10" s="454">
        <f aca="true" t="shared" si="0" ref="G10:G16">F10*E10</f>
        <v>8888.18</v>
      </c>
      <c r="H10" s="4">
        <f>F10*E10</f>
        <v>8888.18</v>
      </c>
      <c r="I10" s="249" t="s">
        <v>157</v>
      </c>
      <c r="J10" s="1408" t="s">
        <v>225</v>
      </c>
      <c r="K10" s="1408"/>
      <c r="L10" s="1408"/>
      <c r="M10" s="1408"/>
      <c r="O10" s="1406" t="s">
        <v>522</v>
      </c>
      <c r="P10" s="1406"/>
      <c r="Q10" s="1406"/>
      <c r="R10" s="1406"/>
    </row>
    <row r="11" spans="1:8" ht="19.5" customHeight="1">
      <c r="A11" s="446">
        <v>4</v>
      </c>
      <c r="B11" s="445" t="s">
        <v>1252</v>
      </c>
      <c r="C11" s="621">
        <v>7130820248</v>
      </c>
      <c r="D11" s="216" t="s">
        <v>83</v>
      </c>
      <c r="E11" s="4">
        <f>VLOOKUP(C11,'SOR RATE'!A:D,4,0)</f>
        <v>241</v>
      </c>
      <c r="F11" s="446">
        <v>24</v>
      </c>
      <c r="G11" s="454">
        <f t="shared" si="0"/>
        <v>5784</v>
      </c>
      <c r="H11" s="4">
        <f>F11*E11</f>
        <v>5784</v>
      </c>
    </row>
    <row r="12" spans="1:10" ht="18.75" customHeight="1">
      <c r="A12" s="446">
        <v>5</v>
      </c>
      <c r="B12" s="445" t="s">
        <v>501</v>
      </c>
      <c r="C12" s="19">
        <v>7130820011</v>
      </c>
      <c r="D12" s="216" t="s">
        <v>83</v>
      </c>
      <c r="E12" s="4">
        <f>VLOOKUP(C12,'SOR RATE'!A:D,4,0)</f>
        <v>307</v>
      </c>
      <c r="F12" s="446">
        <v>24</v>
      </c>
      <c r="G12" s="454">
        <f t="shared" si="0"/>
        <v>7368</v>
      </c>
      <c r="H12" s="4">
        <f>F12*E12</f>
        <v>7368</v>
      </c>
      <c r="I12" s="1411" t="s">
        <v>158</v>
      </c>
      <c r="J12" s="1412"/>
    </row>
    <row r="13" spans="1:10" ht="33" customHeight="1">
      <c r="A13" s="446">
        <v>6</v>
      </c>
      <c r="B13" s="218" t="s">
        <v>85</v>
      </c>
      <c r="C13" s="19">
        <v>7130830063</v>
      </c>
      <c r="D13" s="3" t="s">
        <v>1721</v>
      </c>
      <c r="E13" s="4">
        <f>VLOOKUP(C13,'SOR RATE'!A:D,4,0)/1000</f>
        <v>54.885</v>
      </c>
      <c r="F13" s="446">
        <v>50</v>
      </c>
      <c r="G13" s="454">
        <f t="shared" si="0"/>
        <v>2744.25</v>
      </c>
      <c r="H13" s="4">
        <f>F13*E13</f>
        <v>2744.25</v>
      </c>
      <c r="I13" s="520" t="s">
        <v>159</v>
      </c>
      <c r="J13" s="521"/>
    </row>
    <row r="14" spans="1:10" ht="16.5" customHeight="1">
      <c r="A14" s="446">
        <v>7</v>
      </c>
      <c r="B14" s="218" t="s">
        <v>496</v>
      </c>
      <c r="C14" s="19">
        <v>7130820009</v>
      </c>
      <c r="D14" s="446" t="s">
        <v>1331</v>
      </c>
      <c r="E14" s="4">
        <f>VLOOKUP(C14,'SOR RATE'!A:D,4,0)</f>
        <v>385</v>
      </c>
      <c r="F14" s="446">
        <v>8</v>
      </c>
      <c r="G14" s="454">
        <f t="shared" si="0"/>
        <v>3080</v>
      </c>
      <c r="H14" s="4">
        <f>F14*E14</f>
        <v>3080</v>
      </c>
      <c r="I14" s="205"/>
      <c r="J14" s="104"/>
    </row>
    <row r="15" spans="1:9" ht="17.25" customHeight="1">
      <c r="A15" s="446">
        <v>8</v>
      </c>
      <c r="B15" s="455" t="s">
        <v>1592</v>
      </c>
      <c r="C15" s="452">
        <v>7130810006</v>
      </c>
      <c r="D15" s="446" t="s">
        <v>1330</v>
      </c>
      <c r="E15" s="4">
        <f>VLOOKUP(C15,'SOR RATE'!A:D,4,0)</f>
        <v>5626.81</v>
      </c>
      <c r="F15" s="446">
        <v>8</v>
      </c>
      <c r="G15" s="454">
        <f t="shared" si="0"/>
        <v>45014.48</v>
      </c>
      <c r="H15" s="4">
        <f aca="true" t="shared" si="1" ref="H15:H28">F15*E15</f>
        <v>45014.48</v>
      </c>
      <c r="I15" s="125"/>
    </row>
    <row r="16" spans="1:10" ht="18" customHeight="1">
      <c r="A16" s="1396">
        <v>9</v>
      </c>
      <c r="B16" s="218" t="s">
        <v>1244</v>
      </c>
      <c r="C16" s="19">
        <v>7130810193</v>
      </c>
      <c r="D16" s="3" t="s">
        <v>83</v>
      </c>
      <c r="E16" s="4">
        <f>VLOOKUP(C16,'SOR RATE'!A:D,4,0)</f>
        <v>225.04</v>
      </c>
      <c r="F16" s="446">
        <v>16</v>
      </c>
      <c r="G16" s="454">
        <f t="shared" si="0"/>
        <v>3600.64</v>
      </c>
      <c r="H16" s="4"/>
      <c r="I16" s="1413" t="s">
        <v>518</v>
      </c>
      <c r="J16" s="1414"/>
    </row>
    <row r="17" spans="1:10" ht="19.5" customHeight="1">
      <c r="A17" s="1398"/>
      <c r="B17" s="218" t="s">
        <v>22</v>
      </c>
      <c r="C17" s="19">
        <v>7130810692</v>
      </c>
      <c r="D17" s="3" t="s">
        <v>83</v>
      </c>
      <c r="E17" s="4">
        <f>VLOOKUP(C17,'SOR RATE'!A:D,4,0)</f>
        <v>249.66</v>
      </c>
      <c r="F17" s="446">
        <v>16</v>
      </c>
      <c r="G17" s="454"/>
      <c r="H17" s="4">
        <f t="shared" si="1"/>
        <v>3994.56</v>
      </c>
      <c r="I17" s="1413" t="s">
        <v>518</v>
      </c>
      <c r="J17" s="1414"/>
    </row>
    <row r="18" spans="1:9" ht="21.75" customHeight="1">
      <c r="A18" s="446">
        <v>10</v>
      </c>
      <c r="B18" s="218" t="s">
        <v>1610</v>
      </c>
      <c r="C18" s="19">
        <v>7131930321</v>
      </c>
      <c r="D18" s="805" t="s">
        <v>1611</v>
      </c>
      <c r="E18" s="4">
        <f>VLOOKUP(C18,'SOR RATE'!A:D,4,0)</f>
        <v>20846</v>
      </c>
      <c r="F18" s="446">
        <v>4</v>
      </c>
      <c r="G18" s="454">
        <f>F18*E18</f>
        <v>83384</v>
      </c>
      <c r="H18" s="4">
        <f t="shared" si="1"/>
        <v>83384</v>
      </c>
      <c r="I18" s="2" t="s">
        <v>160</v>
      </c>
    </row>
    <row r="19" spans="1:8" ht="62.25" customHeight="1">
      <c r="A19" s="1407">
        <v>11</v>
      </c>
      <c r="B19" s="456" t="s">
        <v>1807</v>
      </c>
      <c r="C19" s="804" t="s">
        <v>1806</v>
      </c>
      <c r="D19" s="457" t="s">
        <v>1585</v>
      </c>
      <c r="E19" s="458"/>
      <c r="F19" s="458"/>
      <c r="G19" s="482"/>
      <c r="H19" s="458"/>
    </row>
    <row r="20" spans="1:14" ht="17.25" customHeight="1">
      <c r="A20" s="1407"/>
      <c r="B20" s="218" t="s">
        <v>505</v>
      </c>
      <c r="C20" s="19">
        <v>7130200401</v>
      </c>
      <c r="D20" s="3" t="s">
        <v>1576</v>
      </c>
      <c r="E20" s="4">
        <f>VLOOKUP(C20,'SOR RATE'!A:D,4,0)/50</f>
        <v>4.9</v>
      </c>
      <c r="F20" s="452">
        <f>2.6*208</f>
        <v>540.8000000000001</v>
      </c>
      <c r="G20" s="454">
        <f>F20*E20</f>
        <v>2649.9200000000005</v>
      </c>
      <c r="H20" s="4"/>
      <c r="I20" s="523" t="s">
        <v>161</v>
      </c>
      <c r="J20" s="518"/>
      <c r="K20" s="518"/>
      <c r="L20" s="518"/>
      <c r="M20" s="518"/>
      <c r="N20" s="518"/>
    </row>
    <row r="21" spans="1:12" ht="17.25" customHeight="1">
      <c r="A21" s="1407"/>
      <c r="B21" s="218" t="s">
        <v>506</v>
      </c>
      <c r="C21" s="19">
        <v>7130200401</v>
      </c>
      <c r="D21" s="3" t="s">
        <v>1576</v>
      </c>
      <c r="E21" s="4">
        <f>VLOOKUP(C21,'SOR RATE'!A:D,4,0)/50</f>
        <v>4.9</v>
      </c>
      <c r="F21" s="452">
        <f>2.6*208</f>
        <v>540.8000000000001</v>
      </c>
      <c r="G21" s="454"/>
      <c r="H21" s="4">
        <f>E21*F21</f>
        <v>2649.9200000000005</v>
      </c>
      <c r="I21" s="523" t="s">
        <v>523</v>
      </c>
      <c r="J21" s="518"/>
      <c r="K21" s="518"/>
      <c r="L21" s="518"/>
    </row>
    <row r="22" spans="1:10" ht="33.75" customHeight="1">
      <c r="A22" s="618">
        <v>12</v>
      </c>
      <c r="B22" s="218" t="s">
        <v>520</v>
      </c>
      <c r="C22" s="19">
        <v>7130600051</v>
      </c>
      <c r="D22" s="3" t="s">
        <v>1576</v>
      </c>
      <c r="E22" s="4">
        <f>VLOOKUP(C22,'SOR RATE'!A:D,4,0)/1000</f>
        <v>33.236</v>
      </c>
      <c r="F22" s="452">
        <v>60</v>
      </c>
      <c r="G22" s="454">
        <f>F22*E22</f>
        <v>1994.1599999999999</v>
      </c>
      <c r="H22" s="4">
        <f>F22*E22</f>
        <v>1994.1599999999999</v>
      </c>
      <c r="I22" s="522" t="s">
        <v>519</v>
      </c>
      <c r="J22" s="159"/>
    </row>
    <row r="23" spans="1:8" ht="17.25" customHeight="1">
      <c r="A23" s="446">
        <v>13</v>
      </c>
      <c r="B23" s="218" t="s">
        <v>84</v>
      </c>
      <c r="C23" s="19">
        <v>7130870013</v>
      </c>
      <c r="D23" s="3" t="s">
        <v>83</v>
      </c>
      <c r="E23" s="4">
        <f>VLOOKUP(C23,'SOR RATE'!A:D,4,0)</f>
        <v>97</v>
      </c>
      <c r="F23" s="452">
        <v>4</v>
      </c>
      <c r="G23" s="454">
        <f>F23*E23</f>
        <v>388</v>
      </c>
      <c r="H23" s="4">
        <f t="shared" si="1"/>
        <v>388</v>
      </c>
    </row>
    <row r="24" spans="1:8" ht="15">
      <c r="A24" s="446">
        <v>14</v>
      </c>
      <c r="B24" s="806" t="s">
        <v>1586</v>
      </c>
      <c r="C24" s="19">
        <v>7130211158</v>
      </c>
      <c r="D24" s="3" t="s">
        <v>1573</v>
      </c>
      <c r="E24" s="4">
        <f>VLOOKUP(C24,'SOR RATE'!A:D,4,0)</f>
        <v>133</v>
      </c>
      <c r="F24" s="446">
        <v>6</v>
      </c>
      <c r="G24" s="454"/>
      <c r="H24" s="4">
        <f t="shared" si="1"/>
        <v>798</v>
      </c>
    </row>
    <row r="25" spans="1:8" ht="15">
      <c r="A25" s="446">
        <v>15</v>
      </c>
      <c r="B25" s="806" t="s">
        <v>1587</v>
      </c>
      <c r="C25" s="19">
        <v>7130210809</v>
      </c>
      <c r="D25" s="3" t="s">
        <v>1573</v>
      </c>
      <c r="E25" s="4">
        <f>VLOOKUP(C25,'SOR RATE'!A:D,4,0)</f>
        <v>297</v>
      </c>
      <c r="F25" s="446">
        <v>6</v>
      </c>
      <c r="G25" s="454"/>
      <c r="H25" s="4">
        <f t="shared" si="1"/>
        <v>1782</v>
      </c>
    </row>
    <row r="26" spans="1:10" ht="21" customHeight="1">
      <c r="A26" s="446">
        <v>16</v>
      </c>
      <c r="B26" s="218" t="s">
        <v>1438</v>
      </c>
      <c r="C26" s="19">
        <v>7130610206</v>
      </c>
      <c r="D26" s="3" t="s">
        <v>1576</v>
      </c>
      <c r="E26" s="4">
        <f>VLOOKUP(C26,'SOR RATE'!A:D,4,0)/1000</f>
        <v>63.963</v>
      </c>
      <c r="F26" s="446">
        <v>8</v>
      </c>
      <c r="G26" s="454">
        <f>F26*E26</f>
        <v>511.704</v>
      </c>
      <c r="H26" s="4">
        <f t="shared" si="1"/>
        <v>511.704</v>
      </c>
      <c r="I26" s="520" t="s">
        <v>24</v>
      </c>
      <c r="J26" s="144"/>
    </row>
    <row r="27" spans="1:9" ht="15">
      <c r="A27" s="446">
        <v>17</v>
      </c>
      <c r="B27" s="806" t="s">
        <v>840</v>
      </c>
      <c r="C27" s="19">
        <v>7130880041</v>
      </c>
      <c r="D27" s="3" t="s">
        <v>83</v>
      </c>
      <c r="E27" s="4">
        <f>VLOOKUP(C27,'SOR RATE'!A:D,4,0)</f>
        <v>62</v>
      </c>
      <c r="F27" s="446">
        <v>4</v>
      </c>
      <c r="G27" s="454">
        <f>F27*E27</f>
        <v>248</v>
      </c>
      <c r="H27" s="4">
        <f t="shared" si="1"/>
        <v>248</v>
      </c>
      <c r="I27" s="561" t="s">
        <v>162</v>
      </c>
    </row>
    <row r="28" spans="1:12" ht="15">
      <c r="A28" s="446">
        <v>18</v>
      </c>
      <c r="B28" s="806" t="s">
        <v>1123</v>
      </c>
      <c r="C28" s="19">
        <v>7130810624</v>
      </c>
      <c r="D28" s="3" t="s">
        <v>83</v>
      </c>
      <c r="E28" s="4">
        <f>VLOOKUP(C28,'SOR RATE'!A:D,4,0)</f>
        <v>75</v>
      </c>
      <c r="F28" s="446">
        <v>12</v>
      </c>
      <c r="G28" s="454">
        <f>F28*E28</f>
        <v>900</v>
      </c>
      <c r="H28" s="4">
        <f t="shared" si="1"/>
        <v>900</v>
      </c>
      <c r="I28" s="562" t="s">
        <v>163</v>
      </c>
      <c r="J28" s="518"/>
      <c r="K28" s="518"/>
      <c r="L28" s="518"/>
    </row>
    <row r="29" spans="1:8" ht="15">
      <c r="A29" s="1396">
        <v>19</v>
      </c>
      <c r="B29" s="806" t="s">
        <v>1588</v>
      </c>
      <c r="C29" s="806"/>
      <c r="D29" s="446" t="s">
        <v>1328</v>
      </c>
      <c r="E29" s="4"/>
      <c r="F29" s="807"/>
      <c r="G29" s="807"/>
      <c r="H29" s="808"/>
    </row>
    <row r="30" spans="1:8" ht="15">
      <c r="A30" s="1397"/>
      <c r="B30" s="218" t="s">
        <v>56</v>
      </c>
      <c r="C30" s="19">
        <v>7130620609</v>
      </c>
      <c r="D30" s="3" t="s">
        <v>1576</v>
      </c>
      <c r="E30" s="4">
        <f>VLOOKUP(C30,'SOR RATE'!A:D,4,0)</f>
        <v>63</v>
      </c>
      <c r="F30" s="446">
        <v>2</v>
      </c>
      <c r="G30" s="454"/>
      <c r="H30" s="4">
        <f>E30*F30</f>
        <v>126</v>
      </c>
    </row>
    <row r="31" spans="1:8" ht="15">
      <c r="A31" s="1397"/>
      <c r="B31" s="218" t="s">
        <v>2106</v>
      </c>
      <c r="C31" s="19">
        <v>7130620614</v>
      </c>
      <c r="D31" s="3" t="s">
        <v>1576</v>
      </c>
      <c r="E31" s="4">
        <f>VLOOKUP(C31,'SOR RATE'!A:D,4,0)</f>
        <v>62</v>
      </c>
      <c r="F31" s="446">
        <v>2</v>
      </c>
      <c r="G31" s="454"/>
      <c r="H31" s="4">
        <f>E31*F31</f>
        <v>124</v>
      </c>
    </row>
    <row r="32" spans="1:8" ht="15">
      <c r="A32" s="1397"/>
      <c r="B32" s="218" t="s">
        <v>2107</v>
      </c>
      <c r="C32" s="19">
        <v>7130620619</v>
      </c>
      <c r="D32" s="3" t="s">
        <v>1576</v>
      </c>
      <c r="E32" s="4">
        <f>VLOOKUP(C32,'SOR RATE'!A:D,4,0)</f>
        <v>62</v>
      </c>
      <c r="F32" s="446">
        <v>10</v>
      </c>
      <c r="G32" s="454">
        <f>E32*F32</f>
        <v>620</v>
      </c>
      <c r="H32" s="4">
        <f>E32*F32</f>
        <v>620</v>
      </c>
    </row>
    <row r="33" spans="1:8" ht="15">
      <c r="A33" s="1398"/>
      <c r="B33" s="218" t="s">
        <v>2121</v>
      </c>
      <c r="C33" s="19">
        <v>7130620631</v>
      </c>
      <c r="D33" s="3" t="s">
        <v>1576</v>
      </c>
      <c r="E33" s="4">
        <f>VLOOKUP(C33,'SOR RATE'!A:D,4,0)</f>
        <v>61</v>
      </c>
      <c r="F33" s="446">
        <v>15</v>
      </c>
      <c r="G33" s="454">
        <f>E33*F33</f>
        <v>915</v>
      </c>
      <c r="H33" s="4">
        <f>E33*F33</f>
        <v>915</v>
      </c>
    </row>
    <row r="34" spans="1:12" ht="15">
      <c r="A34" s="618">
        <v>20</v>
      </c>
      <c r="B34" s="806" t="s">
        <v>1429</v>
      </c>
      <c r="C34" s="19">
        <v>7130830585</v>
      </c>
      <c r="D34" s="3" t="s">
        <v>83</v>
      </c>
      <c r="E34" s="4">
        <f>VLOOKUP(C34,'SOR RATE'!A:D,4,0)</f>
        <v>223</v>
      </c>
      <c r="F34" s="446">
        <v>6</v>
      </c>
      <c r="G34" s="454">
        <f>E34*F34</f>
        <v>1338</v>
      </c>
      <c r="H34" s="4">
        <f>E34*F34</f>
        <v>1338</v>
      </c>
      <c r="I34" s="518" t="s">
        <v>521</v>
      </c>
      <c r="K34" s="1406" t="s">
        <v>519</v>
      </c>
      <c r="L34" s="1406"/>
    </row>
    <row r="35" spans="1:9" ht="21.75" customHeight="1">
      <c r="A35" s="809">
        <v>21</v>
      </c>
      <c r="B35" s="799" t="s">
        <v>1052</v>
      </c>
      <c r="C35" s="810"/>
      <c r="D35" s="805"/>
      <c r="E35" s="805"/>
      <c r="F35" s="805"/>
      <c r="G35" s="619">
        <f>SUM(G8:G34)</f>
        <v>181400.334</v>
      </c>
      <c r="H35" s="6">
        <f>SUM(H8:H34)</f>
        <v>235495.94400000002</v>
      </c>
      <c r="I35" s="200"/>
    </row>
    <row r="36" spans="1:9" ht="21" customHeight="1">
      <c r="A36" s="446">
        <v>22</v>
      </c>
      <c r="B36" s="218" t="s">
        <v>1051</v>
      </c>
      <c r="C36" s="811"/>
      <c r="D36" s="811"/>
      <c r="E36" s="446">
        <v>0.09</v>
      </c>
      <c r="F36" s="812"/>
      <c r="G36" s="813">
        <f>G35*E36</f>
        <v>16326.03006</v>
      </c>
      <c r="H36" s="814">
        <f>H35*E36</f>
        <v>21194.63496</v>
      </c>
      <c r="I36" s="200"/>
    </row>
    <row r="37" spans="1:13" ht="20.25" customHeight="1">
      <c r="A37" s="446">
        <v>23</v>
      </c>
      <c r="B37" s="218" t="s">
        <v>91</v>
      </c>
      <c r="C37" s="806"/>
      <c r="D37" s="3" t="s">
        <v>1571</v>
      </c>
      <c r="E37" s="4">
        <f>1664*1.27*1.0891*1.086275*1.1112*1.0685*1.06217</f>
        <v>3153.010200829536</v>
      </c>
      <c r="F37" s="446">
        <v>2.6</v>
      </c>
      <c r="G37" s="454">
        <f>E37*F37</f>
        <v>8197.826522156794</v>
      </c>
      <c r="H37" s="4">
        <f>E37*F37</f>
        <v>8197.826522156794</v>
      </c>
      <c r="I37" s="1409" t="s">
        <v>523</v>
      </c>
      <c r="J37" s="1410"/>
      <c r="K37" s="1410"/>
      <c r="L37" s="518" t="s">
        <v>226</v>
      </c>
      <c r="M37" s="518"/>
    </row>
    <row r="38" spans="1:11" ht="36" customHeight="1">
      <c r="A38" s="446">
        <v>24</v>
      </c>
      <c r="B38" s="218" t="s">
        <v>517</v>
      </c>
      <c r="C38" s="806"/>
      <c r="D38" s="3" t="s">
        <v>83</v>
      </c>
      <c r="E38" s="4">
        <f>+'A-1'!F51</f>
        <v>273.2594915401317</v>
      </c>
      <c r="F38" s="446">
        <v>4</v>
      </c>
      <c r="G38" s="454">
        <f>E38*F38</f>
        <v>1093.0379661605268</v>
      </c>
      <c r="H38" s="4">
        <v>0</v>
      </c>
      <c r="I38" s="522" t="s">
        <v>519</v>
      </c>
      <c r="J38" s="106"/>
      <c r="K38" s="106"/>
    </row>
    <row r="39" spans="1:8" ht="20.25" customHeight="1">
      <c r="A39" s="446">
        <v>25</v>
      </c>
      <c r="B39" s="218" t="s">
        <v>1300</v>
      </c>
      <c r="C39" s="806"/>
      <c r="D39" s="3"/>
      <c r="E39" s="4"/>
      <c r="F39" s="446"/>
      <c r="G39" s="454">
        <v>17936.43</v>
      </c>
      <c r="H39" s="4">
        <v>17292.61</v>
      </c>
    </row>
    <row r="40" spans="1:13" ht="19.5" customHeight="1">
      <c r="A40" s="446">
        <v>26</v>
      </c>
      <c r="B40" s="804" t="s">
        <v>1055</v>
      </c>
      <c r="C40" s="804"/>
      <c r="D40" s="805"/>
      <c r="E40" s="805"/>
      <c r="F40" s="805"/>
      <c r="G40" s="454">
        <f>10782.42*1.1402*0.9368*0.87</f>
        <v>10019.900662304544</v>
      </c>
      <c r="H40" s="4">
        <f>10782.42*1.1402*0.9368*0.87</f>
        <v>10019.900662304544</v>
      </c>
      <c r="I40" s="50"/>
      <c r="J40" s="50"/>
      <c r="K40" s="50"/>
      <c r="L40" s="50"/>
      <c r="M40" s="50"/>
    </row>
    <row r="41" spans="1:13" ht="19.5" customHeight="1">
      <c r="A41" s="809">
        <v>27</v>
      </c>
      <c r="B41" s="799" t="s">
        <v>1053</v>
      </c>
      <c r="C41" s="804"/>
      <c r="D41" s="805"/>
      <c r="E41" s="805"/>
      <c r="F41" s="805"/>
      <c r="G41" s="619">
        <f>G35+G36+G37+G38+G39+G40</f>
        <v>234973.55921062187</v>
      </c>
      <c r="H41" s="6">
        <f>H35+H36+H37+H38+H39+H40</f>
        <v>292200.9161444613</v>
      </c>
      <c r="I41" s="201"/>
      <c r="J41" s="192"/>
      <c r="K41" s="192"/>
      <c r="L41" s="192"/>
      <c r="M41" s="192"/>
    </row>
    <row r="42" spans="1:13" ht="39" customHeight="1">
      <c r="A42" s="446">
        <v>28</v>
      </c>
      <c r="B42" s="218" t="s">
        <v>1054</v>
      </c>
      <c r="C42" s="804"/>
      <c r="D42" s="805"/>
      <c r="E42" s="805">
        <v>0.11</v>
      </c>
      <c r="F42" s="805"/>
      <c r="G42" s="454">
        <f>G35*E42</f>
        <v>19954.03674</v>
      </c>
      <c r="H42" s="4">
        <f>H35*E42</f>
        <v>25904.55384</v>
      </c>
      <c r="I42" s="201"/>
      <c r="J42" s="192"/>
      <c r="K42" s="192"/>
      <c r="L42" s="192"/>
      <c r="M42" s="192"/>
    </row>
    <row r="43" spans="1:8" ht="21" customHeight="1">
      <c r="A43" s="446">
        <v>29</v>
      </c>
      <c r="B43" s="806" t="s">
        <v>1589</v>
      </c>
      <c r="C43" s="806"/>
      <c r="D43" s="805"/>
      <c r="E43" s="805"/>
      <c r="F43" s="805"/>
      <c r="G43" s="454">
        <f>G41+G42</f>
        <v>254927.59595062188</v>
      </c>
      <c r="H43" s="4">
        <f>H41+H42</f>
        <v>318105.4699844613</v>
      </c>
    </row>
    <row r="44" spans="1:8" ht="22.5" customHeight="1">
      <c r="A44" s="809">
        <v>30</v>
      </c>
      <c r="B44" s="810" t="s">
        <v>510</v>
      </c>
      <c r="C44" s="815"/>
      <c r="D44" s="816"/>
      <c r="E44" s="816"/>
      <c r="F44" s="816"/>
      <c r="G44" s="817">
        <f>ROUND(G43,0)</f>
        <v>254928</v>
      </c>
      <c r="H44" s="818">
        <f>ROUND(H43,0)</f>
        <v>318105</v>
      </c>
    </row>
    <row r="46" spans="7:8" ht="15">
      <c r="G46" s="173"/>
      <c r="H46" s="173"/>
    </row>
    <row r="76" spans="1:5" ht="18" customHeight="1">
      <c r="A76" s="11"/>
      <c r="B76" s="1399" t="s">
        <v>21</v>
      </c>
      <c r="C76" s="1399"/>
      <c r="D76" s="1399"/>
      <c r="E76" s="1399"/>
    </row>
    <row r="77" spans="1:5" ht="15">
      <c r="A77" s="113"/>
      <c r="B77" s="98"/>
      <c r="C77" s="99"/>
      <c r="D77" s="145"/>
      <c r="E77" s="145"/>
    </row>
    <row r="78" spans="1:10" ht="34.5" customHeight="1">
      <c r="A78" s="446">
        <v>3</v>
      </c>
      <c r="B78" s="218" t="s">
        <v>500</v>
      </c>
      <c r="C78" s="19">
        <v>7130601072</v>
      </c>
      <c r="D78" s="452" t="s">
        <v>1576</v>
      </c>
      <c r="E78" s="53"/>
      <c r="F78" s="605"/>
      <c r="G78" s="1314"/>
      <c r="H78" s="53"/>
      <c r="I78" s="98"/>
      <c r="J78" s="98"/>
    </row>
    <row r="79" spans="1:10" ht="15">
      <c r="A79" s="1396">
        <v>10</v>
      </c>
      <c r="B79" s="218" t="s">
        <v>2111</v>
      </c>
      <c r="C79" s="19">
        <v>7130860033</v>
      </c>
      <c r="D79" s="3" t="s">
        <v>83</v>
      </c>
      <c r="E79" s="53"/>
      <c r="F79" s="1315"/>
      <c r="G79" s="53"/>
      <c r="H79" s="53"/>
      <c r="I79" s="104"/>
      <c r="J79" s="104"/>
    </row>
    <row r="80" spans="1:10" ht="15">
      <c r="A80" s="1397"/>
      <c r="B80" s="218" t="s">
        <v>502</v>
      </c>
      <c r="C80" s="19">
        <v>7130810201</v>
      </c>
      <c r="D80" s="3" t="s">
        <v>83</v>
      </c>
      <c r="E80" s="53"/>
      <c r="F80" s="1315"/>
      <c r="G80" s="53"/>
      <c r="H80" s="53"/>
      <c r="I80" s="104"/>
      <c r="J80" s="104"/>
    </row>
    <row r="81" spans="1:10" ht="15">
      <c r="A81" s="1398"/>
      <c r="B81" s="218" t="s">
        <v>1441</v>
      </c>
      <c r="C81" s="19">
        <v>7130860076</v>
      </c>
      <c r="D81" s="3" t="s">
        <v>1576</v>
      </c>
      <c r="E81" s="53"/>
      <c r="F81" s="1315"/>
      <c r="G81" s="53"/>
      <c r="H81" s="53"/>
      <c r="I81" s="104"/>
      <c r="J81" s="104"/>
    </row>
    <row r="82" spans="1:8" ht="60">
      <c r="A82" s="1407">
        <v>12</v>
      </c>
      <c r="B82" s="456" t="s">
        <v>23</v>
      </c>
      <c r="C82" s="452" t="s">
        <v>503</v>
      </c>
      <c r="D82" s="452" t="s">
        <v>1585</v>
      </c>
      <c r="E82" s="1316"/>
      <c r="F82" s="1316"/>
      <c r="G82" s="1316"/>
      <c r="H82" s="1316"/>
    </row>
    <row r="83" spans="1:8" ht="17.25" customHeight="1">
      <c r="A83" s="1407"/>
      <c r="B83" s="218" t="s">
        <v>504</v>
      </c>
      <c r="C83" s="19">
        <v>7130200401</v>
      </c>
      <c r="D83" s="3" t="s">
        <v>1576</v>
      </c>
      <c r="E83" s="53"/>
      <c r="F83" s="1317"/>
      <c r="G83" s="53"/>
      <c r="H83" s="53"/>
    </row>
    <row r="84" spans="1:8" ht="17.25" customHeight="1">
      <c r="A84" s="1407"/>
      <c r="B84" s="218" t="s">
        <v>298</v>
      </c>
      <c r="C84" s="19">
        <v>7130200401</v>
      </c>
      <c r="D84" s="3" t="s">
        <v>1576</v>
      </c>
      <c r="E84" s="53"/>
      <c r="F84" s="1317"/>
      <c r="G84" s="53"/>
      <c r="H84" s="53"/>
    </row>
  </sheetData>
  <sheetProtection/>
  <mergeCells count="21">
    <mergeCell ref="I17:J17"/>
    <mergeCell ref="B5:B6"/>
    <mergeCell ref="O10:R10"/>
    <mergeCell ref="A82:A84"/>
    <mergeCell ref="J10:M10"/>
    <mergeCell ref="I37:K37"/>
    <mergeCell ref="K34:L34"/>
    <mergeCell ref="A19:A21"/>
    <mergeCell ref="I12:J12"/>
    <mergeCell ref="I16:J16"/>
    <mergeCell ref="A79:A81"/>
    <mergeCell ref="A29:A33"/>
    <mergeCell ref="B76:E76"/>
    <mergeCell ref="B1:E1"/>
    <mergeCell ref="A5:A6"/>
    <mergeCell ref="A16:A17"/>
    <mergeCell ref="B3:G3"/>
    <mergeCell ref="E5:E6"/>
    <mergeCell ref="F5:F6"/>
    <mergeCell ref="C5:C6"/>
    <mergeCell ref="D5:D6"/>
  </mergeCells>
  <printOptions/>
  <pageMargins left="0.87" right="0.14" top="0.61" bottom="0.33" header="0.5" footer="0.15"/>
  <pageSetup horizontalDpi="600" verticalDpi="600" orientation="landscape" paperSize="9" scale="95" r:id="rId1"/>
  <ignoredErrors>
    <ignoredError sqref="F7 A7:C7" numberStoredAsText="1"/>
    <ignoredError sqref="E13 E26" formula="1"/>
  </ignoredErrors>
</worksheet>
</file>

<file path=xl/worksheets/sheet5.xml><?xml version="1.0" encoding="utf-8"?>
<worksheet xmlns="http://schemas.openxmlformats.org/spreadsheetml/2006/main" xmlns:r="http://schemas.openxmlformats.org/officeDocument/2006/relationships">
  <sheetPr>
    <tabColor indexed="15"/>
  </sheetPr>
  <dimension ref="A1:R70"/>
  <sheetViews>
    <sheetView zoomScale="85" zoomScaleNormal="85" zoomScalePageLayoutView="0" workbookViewId="0" topLeftCell="A1">
      <pane xSplit="3" ySplit="7" topLeftCell="D53" activePane="bottomRight" state="frozen"/>
      <selection pane="topLeft" activeCell="A1" sqref="A1"/>
      <selection pane="topRight" activeCell="D1" sqref="D1"/>
      <selection pane="bottomLeft" activeCell="A8" sqref="A8"/>
      <selection pane="bottomRight" activeCell="M62" sqref="M62"/>
    </sheetView>
  </sheetViews>
  <sheetFormatPr defaultColWidth="9.140625" defaultRowHeight="12.75"/>
  <cols>
    <col min="1" max="1" width="4.140625" style="61" customWidth="1"/>
    <col min="2" max="2" width="51.57421875" style="2" customWidth="1"/>
    <col min="3" max="3" width="15.140625" style="18" customWidth="1"/>
    <col min="4" max="4" width="6.7109375" style="2" customWidth="1"/>
    <col min="5" max="5" width="6.8515625" style="2" customWidth="1"/>
    <col min="6" max="6" width="9.7109375" style="2" customWidth="1"/>
    <col min="7" max="7" width="11.00390625" style="2" customWidth="1"/>
    <col min="8" max="8" width="7.140625" style="2" customWidth="1"/>
    <col min="9" max="9" width="9.8515625" style="2" bestFit="1" customWidth="1"/>
    <col min="10" max="10" width="12.421875" style="2" customWidth="1"/>
    <col min="11" max="11" width="7.421875" style="2" customWidth="1"/>
    <col min="12" max="12" width="9.57421875" style="2" customWidth="1"/>
    <col min="13" max="13" width="11.00390625" style="2" customWidth="1"/>
    <col min="14" max="14" width="9.140625" style="2" customWidth="1"/>
    <col min="15" max="15" width="13.28125" style="2" customWidth="1"/>
    <col min="16" max="16" width="18.57421875" style="2" customWidth="1"/>
    <col min="17" max="16384" width="9.140625" style="2" customWidth="1"/>
  </cols>
  <sheetData>
    <row r="1" spans="2:10" ht="21.75" customHeight="1">
      <c r="B1" s="126"/>
      <c r="C1" s="1400" t="s">
        <v>509</v>
      </c>
      <c r="D1" s="1400"/>
      <c r="E1" s="1400"/>
      <c r="F1" s="1400"/>
      <c r="G1" s="80"/>
      <c r="H1" s="126"/>
      <c r="I1" s="126"/>
      <c r="J1" s="126"/>
    </row>
    <row r="2" spans="11:12" ht="18" customHeight="1">
      <c r="K2" s="1416" t="s">
        <v>244</v>
      </c>
      <c r="L2" s="1416"/>
    </row>
    <row r="3" spans="2:13" ht="33" customHeight="1">
      <c r="B3" s="1415" t="s">
        <v>542</v>
      </c>
      <c r="C3" s="1415"/>
      <c r="D3" s="1415"/>
      <c r="E3" s="1415"/>
      <c r="F3" s="1415"/>
      <c r="G3" s="1415"/>
      <c r="H3" s="1415"/>
      <c r="I3" s="1415"/>
      <c r="J3" s="33"/>
      <c r="K3" s="212"/>
      <c r="L3" s="212"/>
      <c r="M3" s="212"/>
    </row>
    <row r="4" spans="1:8" ht="14.25" customHeight="1">
      <c r="A4" s="67"/>
      <c r="B4" s="68"/>
      <c r="C4" s="69"/>
      <c r="D4" s="68"/>
      <c r="E4" s="68"/>
      <c r="F4" s="68"/>
      <c r="G4" s="68"/>
      <c r="H4" s="68"/>
    </row>
    <row r="5" spans="1:13" s="56" customFormat="1" ht="34.5" customHeight="1">
      <c r="A5" s="1404" t="s">
        <v>78</v>
      </c>
      <c r="B5" s="1404" t="s">
        <v>79</v>
      </c>
      <c r="C5" s="1384" t="s">
        <v>88</v>
      </c>
      <c r="D5" s="1404" t="s">
        <v>80</v>
      </c>
      <c r="E5" s="1404" t="s">
        <v>81</v>
      </c>
      <c r="F5" s="1404"/>
      <c r="G5" s="1404"/>
      <c r="H5" s="1404" t="s">
        <v>243</v>
      </c>
      <c r="I5" s="1404"/>
      <c r="J5" s="1404"/>
      <c r="K5" s="1393" t="s">
        <v>41</v>
      </c>
      <c r="L5" s="1394"/>
      <c r="M5" s="1395"/>
    </row>
    <row r="6" spans="1:13" ht="22.5" customHeight="1">
      <c r="A6" s="1404"/>
      <c r="B6" s="1404"/>
      <c r="C6" s="1385"/>
      <c r="D6" s="1404"/>
      <c r="E6" s="30" t="s">
        <v>86</v>
      </c>
      <c r="F6" s="30" t="s">
        <v>601</v>
      </c>
      <c r="G6" s="124" t="s">
        <v>2047</v>
      </c>
      <c r="H6" s="30" t="s">
        <v>86</v>
      </c>
      <c r="I6" s="30" t="s">
        <v>601</v>
      </c>
      <c r="J6" s="124" t="s">
        <v>2047</v>
      </c>
      <c r="K6" s="6" t="s">
        <v>86</v>
      </c>
      <c r="L6" s="6" t="s">
        <v>601</v>
      </c>
      <c r="M6" s="6" t="s">
        <v>2047</v>
      </c>
    </row>
    <row r="7" spans="1:13" ht="15.75">
      <c r="A7" s="127">
        <v>1</v>
      </c>
      <c r="B7" s="30">
        <v>2</v>
      </c>
      <c r="C7" s="30">
        <v>3</v>
      </c>
      <c r="D7" s="30">
        <v>4</v>
      </c>
      <c r="E7" s="128">
        <v>5</v>
      </c>
      <c r="F7" s="128">
        <v>6</v>
      </c>
      <c r="G7" s="128">
        <v>7</v>
      </c>
      <c r="H7" s="30">
        <v>8</v>
      </c>
      <c r="I7" s="30">
        <v>9</v>
      </c>
      <c r="J7" s="30">
        <v>10</v>
      </c>
      <c r="K7" s="30">
        <v>11</v>
      </c>
      <c r="L7" s="30">
        <v>12</v>
      </c>
      <c r="M7" s="30">
        <v>13</v>
      </c>
    </row>
    <row r="8" spans="1:14" ht="20.25" customHeight="1">
      <c r="A8" s="1417">
        <v>1</v>
      </c>
      <c r="B8" s="218" t="s">
        <v>1247</v>
      </c>
      <c r="C8" s="19">
        <v>7130800033</v>
      </c>
      <c r="D8" s="3" t="s">
        <v>83</v>
      </c>
      <c r="E8" s="634">
        <v>2</v>
      </c>
      <c r="F8" s="451">
        <f>VLOOKUP(C8,'SOR RATE'!A:D,4,0)</f>
        <v>2993</v>
      </c>
      <c r="G8" s="451">
        <f>E8*F8</f>
        <v>5986</v>
      </c>
      <c r="H8" s="216"/>
      <c r="I8" s="216"/>
      <c r="J8" s="216"/>
      <c r="K8" s="779"/>
      <c r="L8" s="779"/>
      <c r="M8" s="779"/>
      <c r="N8" s="145"/>
    </row>
    <row r="9" spans="1:14" ht="36" customHeight="1">
      <c r="A9" s="1418"/>
      <c r="B9" s="218" t="s">
        <v>2222</v>
      </c>
      <c r="C9" s="621">
        <v>7130601958</v>
      </c>
      <c r="D9" s="3" t="s">
        <v>1576</v>
      </c>
      <c r="E9" s="216"/>
      <c r="F9" s="4"/>
      <c r="G9" s="4"/>
      <c r="H9" s="216">
        <v>964.6</v>
      </c>
      <c r="I9" s="447">
        <f>VLOOKUP(C9,'SOR RATE'!A:D,4,0)/1000</f>
        <v>32.575</v>
      </c>
      <c r="J9" s="4">
        <f>I9*H9</f>
        <v>31421.845000000005</v>
      </c>
      <c r="K9" s="779"/>
      <c r="L9" s="779"/>
      <c r="M9" s="779"/>
      <c r="N9" s="145"/>
    </row>
    <row r="10" spans="1:16" ht="19.5" customHeight="1">
      <c r="A10" s="1419"/>
      <c r="B10" s="218" t="s">
        <v>229</v>
      </c>
      <c r="C10" s="19"/>
      <c r="D10" s="3" t="s">
        <v>83</v>
      </c>
      <c r="E10" s="216"/>
      <c r="F10" s="451"/>
      <c r="G10" s="4"/>
      <c r="H10" s="216"/>
      <c r="I10" s="447"/>
      <c r="J10" s="4"/>
      <c r="K10" s="219">
        <v>2</v>
      </c>
      <c r="L10" s="4">
        <v>4515</v>
      </c>
      <c r="M10" s="4">
        <f>K10*L10</f>
        <v>9030</v>
      </c>
      <c r="N10" s="145"/>
      <c r="O10" s="200"/>
      <c r="P10" s="200"/>
    </row>
    <row r="11" spans="1:14" ht="18.75" customHeight="1">
      <c r="A11" s="634">
        <v>2</v>
      </c>
      <c r="B11" s="819" t="s">
        <v>698</v>
      </c>
      <c r="C11" s="19">
        <v>7130810608</v>
      </c>
      <c r="D11" s="634" t="s">
        <v>83</v>
      </c>
      <c r="E11" s="216">
        <v>1</v>
      </c>
      <c r="F11" s="451">
        <f>VLOOKUP(C11,'SOR RATE'!A:D,4,0)</f>
        <v>4444.09</v>
      </c>
      <c r="G11" s="4">
        <f>F11*E11</f>
        <v>4444.09</v>
      </c>
      <c r="H11" s="216">
        <v>1</v>
      </c>
      <c r="I11" s="447">
        <f>VLOOKUP(C11,'SOR RATE'!A:D,4,0)</f>
        <v>4444.09</v>
      </c>
      <c r="J11" s="4">
        <f>I11*H11</f>
        <v>4444.09</v>
      </c>
      <c r="K11" s="219">
        <v>1</v>
      </c>
      <c r="L11" s="4">
        <f>VLOOKUP(C11,'SOR RATE'!A:D,4,0)</f>
        <v>4444.09</v>
      </c>
      <c r="M11" s="4">
        <f aca="true" t="shared" si="0" ref="M11:M37">K11*L11</f>
        <v>4444.09</v>
      </c>
      <c r="N11" s="145"/>
    </row>
    <row r="12" spans="1:16" ht="18" customHeight="1">
      <c r="A12" s="216">
        <v>3</v>
      </c>
      <c r="B12" s="445" t="s">
        <v>501</v>
      </c>
      <c r="C12" s="19">
        <v>7130820011</v>
      </c>
      <c r="D12" s="216" t="s">
        <v>83</v>
      </c>
      <c r="E12" s="216">
        <v>18</v>
      </c>
      <c r="F12" s="451">
        <f>VLOOKUP(C12,'SOR RATE'!A:D,4,0)</f>
        <v>307</v>
      </c>
      <c r="G12" s="4">
        <f>F12*E12</f>
        <v>5526</v>
      </c>
      <c r="H12" s="216">
        <v>18</v>
      </c>
      <c r="I12" s="447">
        <f>VLOOKUP(C12,'SOR RATE'!A:D,4,0)</f>
        <v>307</v>
      </c>
      <c r="J12" s="4">
        <f>I12*H12</f>
        <v>5526</v>
      </c>
      <c r="K12" s="219">
        <v>18</v>
      </c>
      <c r="L12" s="4">
        <f>VLOOKUP(C12,'SOR RATE'!A:D,4,0)</f>
        <v>307</v>
      </c>
      <c r="M12" s="4">
        <f t="shared" si="0"/>
        <v>5526</v>
      </c>
      <c r="N12" s="145"/>
      <c r="O12" s="90"/>
      <c r="P12" s="90"/>
    </row>
    <row r="13" spans="1:14" ht="20.25" customHeight="1">
      <c r="A13" s="216">
        <v>4</v>
      </c>
      <c r="B13" s="445" t="s">
        <v>1252</v>
      </c>
      <c r="C13" s="621">
        <v>7130820248</v>
      </c>
      <c r="D13" s="216" t="s">
        <v>83</v>
      </c>
      <c r="E13" s="216">
        <v>6</v>
      </c>
      <c r="F13" s="451">
        <f>VLOOKUP(C13,'SOR RATE'!A:D,4,0)</f>
        <v>241</v>
      </c>
      <c r="G13" s="4">
        <f>F13*E13</f>
        <v>1446</v>
      </c>
      <c r="H13" s="216">
        <v>6</v>
      </c>
      <c r="I13" s="447">
        <f>VLOOKUP(C13,'SOR RATE'!A:D,4,0)</f>
        <v>241</v>
      </c>
      <c r="J13" s="4">
        <f>I13*H13</f>
        <v>1446</v>
      </c>
      <c r="K13" s="219">
        <v>6</v>
      </c>
      <c r="L13" s="4">
        <f>VLOOKUP(C13,'SOR RATE'!A:D,4,0)</f>
        <v>241</v>
      </c>
      <c r="M13" s="4">
        <f t="shared" si="0"/>
        <v>1446</v>
      </c>
      <c r="N13" s="145"/>
    </row>
    <row r="14" spans="1:16" ht="15.75" customHeight="1">
      <c r="A14" s="220">
        <v>5</v>
      </c>
      <c r="B14" s="218" t="s">
        <v>496</v>
      </c>
      <c r="C14" s="19">
        <v>7130820009</v>
      </c>
      <c r="D14" s="216" t="s">
        <v>83</v>
      </c>
      <c r="E14" s="216">
        <v>3</v>
      </c>
      <c r="F14" s="451">
        <f>VLOOKUP(C14,'SOR RATE'!A:D,4,0)</f>
        <v>385</v>
      </c>
      <c r="G14" s="4">
        <f>F14*E14</f>
        <v>1155</v>
      </c>
      <c r="H14" s="216">
        <v>3</v>
      </c>
      <c r="I14" s="447">
        <f>VLOOKUP(C14,'SOR RATE'!A:D,4,0)</f>
        <v>385</v>
      </c>
      <c r="J14" s="4">
        <f>I14*H14</f>
        <v>1155</v>
      </c>
      <c r="K14" s="219">
        <v>3</v>
      </c>
      <c r="L14" s="4">
        <f>VLOOKUP(C14,'SOR RATE'!A:D,4,0)</f>
        <v>385</v>
      </c>
      <c r="M14" s="4">
        <f t="shared" si="0"/>
        <v>1155</v>
      </c>
      <c r="N14" s="145"/>
      <c r="O14" s="98"/>
      <c r="P14" s="98"/>
    </row>
    <row r="15" spans="1:14" ht="33" customHeight="1">
      <c r="A15" s="1417">
        <v>6</v>
      </c>
      <c r="B15" s="445" t="s">
        <v>1726</v>
      </c>
      <c r="C15" s="19"/>
      <c r="D15" s="220" t="s">
        <v>83</v>
      </c>
      <c r="E15" s="216">
        <v>1</v>
      </c>
      <c r="F15" s="451">
        <f>G16+G18</f>
        <v>2894.3199999999997</v>
      </c>
      <c r="G15" s="4"/>
      <c r="H15" s="216">
        <v>1</v>
      </c>
      <c r="I15" s="4">
        <f>J17+J18</f>
        <v>2992.7999999999997</v>
      </c>
      <c r="J15" s="4"/>
      <c r="K15" s="219"/>
      <c r="L15" s="4">
        <f>M16+M18</f>
        <v>2894.3199999999997</v>
      </c>
      <c r="M15" s="4"/>
      <c r="N15" s="145"/>
    </row>
    <row r="16" spans="1:14" ht="16.5" customHeight="1">
      <c r="A16" s="1418"/>
      <c r="B16" s="218" t="s">
        <v>2115</v>
      </c>
      <c r="C16" s="19">
        <v>7130810193</v>
      </c>
      <c r="D16" s="3" t="s">
        <v>83</v>
      </c>
      <c r="E16" s="216">
        <v>4</v>
      </c>
      <c r="F16" s="451">
        <f>VLOOKUP(C16,'SOR RATE'!A:D,4,0)</f>
        <v>225.04</v>
      </c>
      <c r="G16" s="4">
        <f>F16*E16</f>
        <v>900.16</v>
      </c>
      <c r="H16" s="216"/>
      <c r="I16" s="216"/>
      <c r="J16" s="216"/>
      <c r="K16" s="219">
        <v>4</v>
      </c>
      <c r="L16" s="4">
        <f>VLOOKUP(C16,'SOR RATE'!A:D,4,0)</f>
        <v>225.04</v>
      </c>
      <c r="M16" s="4">
        <f t="shared" si="0"/>
        <v>900.16</v>
      </c>
      <c r="N16" s="145"/>
    </row>
    <row r="17" spans="1:14" ht="16.5" customHeight="1">
      <c r="A17" s="1418"/>
      <c r="B17" s="218" t="s">
        <v>1443</v>
      </c>
      <c r="C17" s="19">
        <v>7130810692</v>
      </c>
      <c r="D17" s="3" t="s">
        <v>83</v>
      </c>
      <c r="E17" s="220"/>
      <c r="F17" s="4"/>
      <c r="G17" s="4"/>
      <c r="H17" s="216">
        <v>4</v>
      </c>
      <c r="I17" s="447">
        <f>VLOOKUP(C17,'SOR RATE'!A:D,4,0)</f>
        <v>249.66</v>
      </c>
      <c r="J17" s="4">
        <f>I17*H17</f>
        <v>998.64</v>
      </c>
      <c r="K17" s="4"/>
      <c r="L17" s="4"/>
      <c r="M17" s="4"/>
      <c r="N17" s="145"/>
    </row>
    <row r="18" spans="1:14" ht="18" customHeight="1">
      <c r="A18" s="1419"/>
      <c r="B18" s="445" t="s">
        <v>228</v>
      </c>
      <c r="C18" s="19">
        <v>7130600032</v>
      </c>
      <c r="D18" s="220" t="s">
        <v>1576</v>
      </c>
      <c r="E18" s="220">
        <v>60</v>
      </c>
      <c r="F18" s="451">
        <f>VLOOKUP(C18,'SOR RATE'!A:D,4,0)/1000</f>
        <v>33.236</v>
      </c>
      <c r="G18" s="4">
        <f>F18*E18</f>
        <v>1994.1599999999999</v>
      </c>
      <c r="H18" s="216">
        <v>60</v>
      </c>
      <c r="I18" s="447">
        <f>VLOOKUP(C18,'SOR RATE'!A:D,4,0)/1000</f>
        <v>33.236</v>
      </c>
      <c r="J18" s="4">
        <f>I18*H18</f>
        <v>1994.1599999999999</v>
      </c>
      <c r="K18" s="219">
        <v>60</v>
      </c>
      <c r="L18" s="4">
        <f>VLOOKUP(C18,'SOR RATE'!A:D,4,0)/1000</f>
        <v>33.236</v>
      </c>
      <c r="M18" s="4">
        <f t="shared" si="0"/>
        <v>1994.1599999999999</v>
      </c>
      <c r="N18" s="145"/>
    </row>
    <row r="19" spans="1:14" ht="16.5" customHeight="1">
      <c r="A19" s="1417">
        <v>7</v>
      </c>
      <c r="B19" s="218" t="s">
        <v>2111</v>
      </c>
      <c r="C19" s="19">
        <v>7130860033</v>
      </c>
      <c r="D19" s="3" t="s">
        <v>83</v>
      </c>
      <c r="E19" s="219">
        <v>6</v>
      </c>
      <c r="F19" s="451">
        <f>VLOOKUP(C19,'SOR RATE'!A:D,4,0)</f>
        <v>629</v>
      </c>
      <c r="G19" s="4">
        <f>F19*E19</f>
        <v>3774</v>
      </c>
      <c r="H19" s="216">
        <v>6</v>
      </c>
      <c r="I19" s="447">
        <f>VLOOKUP(C19,'SOR RATE'!A:D,4,0)</f>
        <v>629</v>
      </c>
      <c r="J19" s="4">
        <f>I19*H19</f>
        <v>3774</v>
      </c>
      <c r="K19" s="219">
        <v>6</v>
      </c>
      <c r="L19" s="4">
        <f>VLOOKUP(C19,'SOR RATE'!A:D,4,0)</f>
        <v>629</v>
      </c>
      <c r="M19" s="4">
        <f t="shared" si="0"/>
        <v>3774</v>
      </c>
      <c r="N19" s="145"/>
    </row>
    <row r="20" spans="1:14" ht="15.75" customHeight="1">
      <c r="A20" s="1418"/>
      <c r="B20" s="218" t="s">
        <v>2118</v>
      </c>
      <c r="C20" s="19">
        <v>7130810193</v>
      </c>
      <c r="D20" s="3" t="s">
        <v>83</v>
      </c>
      <c r="E20" s="219">
        <v>6</v>
      </c>
      <c r="F20" s="451">
        <f>VLOOKUP(C20,'SOR RATE'!A:D,4,0)</f>
        <v>225.04</v>
      </c>
      <c r="G20" s="4">
        <f>F20*E20</f>
        <v>1350.24</v>
      </c>
      <c r="H20" s="216"/>
      <c r="I20" s="4"/>
      <c r="J20" s="4"/>
      <c r="K20" s="219">
        <v>6</v>
      </c>
      <c r="L20" s="4">
        <f>VLOOKUP(C20,'SOR RATE'!A:D,4,0)</f>
        <v>225.04</v>
      </c>
      <c r="M20" s="4">
        <f t="shared" si="0"/>
        <v>1350.24</v>
      </c>
      <c r="N20" s="145"/>
    </row>
    <row r="21" spans="1:14" ht="18" customHeight="1">
      <c r="A21" s="1418"/>
      <c r="B21" s="218" t="s">
        <v>1444</v>
      </c>
      <c r="C21" s="19">
        <v>7130810692</v>
      </c>
      <c r="D21" s="3" t="s">
        <v>83</v>
      </c>
      <c r="E21" s="219"/>
      <c r="F21" s="4"/>
      <c r="G21" s="4"/>
      <c r="H21" s="216">
        <v>6</v>
      </c>
      <c r="I21" s="447">
        <f>VLOOKUP(C21,'SOR RATE'!A:D,4,0)</f>
        <v>249.66</v>
      </c>
      <c r="J21" s="4">
        <f>I21*H21</f>
        <v>1497.96</v>
      </c>
      <c r="K21" s="4"/>
      <c r="L21" s="4"/>
      <c r="M21" s="4"/>
      <c r="N21" s="145"/>
    </row>
    <row r="22" spans="1:14" ht="18" customHeight="1">
      <c r="A22" s="1419"/>
      <c r="B22" s="218" t="s">
        <v>230</v>
      </c>
      <c r="C22" s="19">
        <v>7130860076</v>
      </c>
      <c r="D22" s="3" t="s">
        <v>1576</v>
      </c>
      <c r="E22" s="219">
        <v>51</v>
      </c>
      <c r="F22" s="451">
        <f>VLOOKUP(C22,'SOR RATE'!A:D,4,0)/1000</f>
        <v>58.65</v>
      </c>
      <c r="G22" s="4">
        <f>F22*E22</f>
        <v>2991.15</v>
      </c>
      <c r="H22" s="216">
        <v>51</v>
      </c>
      <c r="I22" s="447">
        <f>VLOOKUP(C22,'SOR RATE'!A:D,4,0)/1000</f>
        <v>58.65</v>
      </c>
      <c r="J22" s="4">
        <f>I22*H22</f>
        <v>2991.15</v>
      </c>
      <c r="K22" s="219">
        <v>51</v>
      </c>
      <c r="L22" s="4">
        <f>VLOOKUP(C22,'SOR RATE'!A:D,4,0)/1000</f>
        <v>58.65</v>
      </c>
      <c r="M22" s="4">
        <f t="shared" si="0"/>
        <v>2991.15</v>
      </c>
      <c r="N22" s="145"/>
    </row>
    <row r="23" spans="1:14" ht="18" customHeight="1">
      <c r="A23" s="617">
        <v>8</v>
      </c>
      <c r="B23" s="218" t="s">
        <v>1742</v>
      </c>
      <c r="C23" s="19">
        <v>7130810624</v>
      </c>
      <c r="D23" s="3" t="s">
        <v>1331</v>
      </c>
      <c r="E23" s="219">
        <v>6</v>
      </c>
      <c r="F23" s="451">
        <f>VLOOKUP(C23,'SOR RATE'!A:D,4,0)</f>
        <v>75</v>
      </c>
      <c r="G23" s="4">
        <f>F23*E23</f>
        <v>450</v>
      </c>
      <c r="H23" s="216">
        <v>6</v>
      </c>
      <c r="I23" s="447">
        <f>VLOOKUP(C23,'SOR RATE'!A:D,4,0)</f>
        <v>75</v>
      </c>
      <c r="J23" s="4">
        <f>I23*H23</f>
        <v>450</v>
      </c>
      <c r="K23" s="219">
        <v>6</v>
      </c>
      <c r="L23" s="4">
        <f>VLOOKUP(C23,'SOR RATE'!A:D,4,0)</f>
        <v>75</v>
      </c>
      <c r="M23" s="4">
        <f t="shared" si="0"/>
        <v>450</v>
      </c>
      <c r="N23" s="145"/>
    </row>
    <row r="24" spans="1:14" ht="83.25" customHeight="1">
      <c r="A24" s="1417">
        <v>9</v>
      </c>
      <c r="B24" s="218" t="s">
        <v>232</v>
      </c>
      <c r="C24" s="19"/>
      <c r="D24" s="3" t="s">
        <v>1571</v>
      </c>
      <c r="E24" s="796">
        <f>(2*0.05)+(6*0.3)</f>
        <v>1.9</v>
      </c>
      <c r="F24" s="4"/>
      <c r="G24" s="4"/>
      <c r="H24" s="796">
        <f>(2*0.65)+(6*0.3)</f>
        <v>3.0999999999999996</v>
      </c>
      <c r="I24" s="4"/>
      <c r="J24" s="4"/>
      <c r="K24" s="796">
        <f>(2*0.55)+(6*0.3)</f>
        <v>2.9</v>
      </c>
      <c r="L24" s="4"/>
      <c r="M24" s="4"/>
      <c r="N24" s="589" t="s">
        <v>193</v>
      </c>
    </row>
    <row r="25" spans="1:15" ht="19.5" customHeight="1">
      <c r="A25" s="1418"/>
      <c r="B25" s="218" t="s">
        <v>299</v>
      </c>
      <c r="C25" s="19">
        <v>7130200401</v>
      </c>
      <c r="D25" s="3" t="s">
        <v>1576</v>
      </c>
      <c r="E25" s="219">
        <f>0.1*208</f>
        <v>20.8</v>
      </c>
      <c r="F25" s="451">
        <f>VLOOKUP(C25,'SOR RATE'!A:D,4,0)/50</f>
        <v>4.9</v>
      </c>
      <c r="G25" s="4">
        <f aca="true" t="shared" si="1" ref="G25:G31">F25*E25</f>
        <v>101.92000000000002</v>
      </c>
      <c r="H25" s="798">
        <f>1.3*208</f>
        <v>270.40000000000003</v>
      </c>
      <c r="I25" s="447">
        <f>VLOOKUP(C25,'SOR RATE'!A:D,4,0)/50</f>
        <v>4.9</v>
      </c>
      <c r="J25" s="4">
        <f aca="true" t="shared" si="2" ref="J25:J31">I25*H25</f>
        <v>1324.9600000000003</v>
      </c>
      <c r="K25" s="796">
        <f>1.1*208</f>
        <v>228.8</v>
      </c>
      <c r="L25" s="4">
        <f>VLOOKUP(C25,'SOR RATE'!A:D,4,0)/50</f>
        <v>4.9</v>
      </c>
      <c r="M25" s="4">
        <f t="shared" si="0"/>
        <v>1121.1200000000001</v>
      </c>
      <c r="N25" s="1409" t="s">
        <v>2131</v>
      </c>
      <c r="O25" s="1420"/>
    </row>
    <row r="26" spans="1:14" ht="19.5" customHeight="1">
      <c r="A26" s="1419"/>
      <c r="B26" s="218" t="s">
        <v>300</v>
      </c>
      <c r="C26" s="19">
        <v>7130200401</v>
      </c>
      <c r="D26" s="3" t="s">
        <v>1576</v>
      </c>
      <c r="E26" s="219">
        <f>1.8*208</f>
        <v>374.40000000000003</v>
      </c>
      <c r="F26" s="451">
        <f>VLOOKUP(C26,'SOR RATE'!A:D,4,0)/50</f>
        <v>4.9</v>
      </c>
      <c r="G26" s="4">
        <f t="shared" si="1"/>
        <v>1834.5600000000004</v>
      </c>
      <c r="H26" s="796">
        <f>1.8*208</f>
        <v>374.40000000000003</v>
      </c>
      <c r="I26" s="447">
        <f>VLOOKUP(C26,'SOR RATE'!A:D,4,0)/50</f>
        <v>4.9</v>
      </c>
      <c r="J26" s="4">
        <f t="shared" si="2"/>
        <v>1834.5600000000004</v>
      </c>
      <c r="K26" s="796">
        <f>1.8*208</f>
        <v>374.40000000000003</v>
      </c>
      <c r="L26" s="4">
        <f>VLOOKUP(C26,'SOR RATE'!A:D,4,0)/50</f>
        <v>4.9</v>
      </c>
      <c r="M26" s="4">
        <f t="shared" si="0"/>
        <v>1834.5600000000004</v>
      </c>
      <c r="N26" s="145"/>
    </row>
    <row r="27" spans="1:14" ht="19.5" customHeight="1">
      <c r="A27" s="820">
        <v>10</v>
      </c>
      <c r="B27" s="218" t="s">
        <v>84</v>
      </c>
      <c r="C27" s="19">
        <v>7130870013</v>
      </c>
      <c r="D27" s="3" t="s">
        <v>1611</v>
      </c>
      <c r="E27" s="219">
        <v>2</v>
      </c>
      <c r="F27" s="451">
        <f>VLOOKUP(C27,'SOR RATE'!A:D,4,0)</f>
        <v>97</v>
      </c>
      <c r="G27" s="4">
        <f t="shared" si="1"/>
        <v>194</v>
      </c>
      <c r="H27" s="634">
        <v>2</v>
      </c>
      <c r="I27" s="447">
        <f>VLOOKUP(C27,'SOR RATE'!A:D,4,0)</f>
        <v>97</v>
      </c>
      <c r="J27" s="4">
        <f t="shared" si="2"/>
        <v>194</v>
      </c>
      <c r="K27" s="219">
        <v>2</v>
      </c>
      <c r="L27" s="4">
        <f>VLOOKUP(C27,'SOR RATE'!A:D,4,0)</f>
        <v>97</v>
      </c>
      <c r="M27" s="4">
        <f t="shared" si="0"/>
        <v>194</v>
      </c>
      <c r="N27" s="145"/>
    </row>
    <row r="28" spans="1:14" ht="16.5" customHeight="1">
      <c r="A28" s="445">
        <v>11</v>
      </c>
      <c r="B28" s="218" t="s">
        <v>1572</v>
      </c>
      <c r="C28" s="19">
        <v>7130211158</v>
      </c>
      <c r="D28" s="3" t="s">
        <v>1573</v>
      </c>
      <c r="E28" s="796">
        <v>0.5</v>
      </c>
      <c r="F28" s="451">
        <f>VLOOKUP(C28,'SOR RATE'!A:D,4,0)</f>
        <v>133</v>
      </c>
      <c r="G28" s="4">
        <f t="shared" si="1"/>
        <v>66.5</v>
      </c>
      <c r="H28" s="216">
        <v>2</v>
      </c>
      <c r="I28" s="447">
        <f>VLOOKUP(C28,'SOR RATE'!A:D,4,0)</f>
        <v>133</v>
      </c>
      <c r="J28" s="4">
        <f t="shared" si="2"/>
        <v>266</v>
      </c>
      <c r="K28" s="796">
        <v>0.5</v>
      </c>
      <c r="L28" s="4">
        <f>VLOOKUP(C28,'SOR RATE'!A:D,4,0)</f>
        <v>133</v>
      </c>
      <c r="M28" s="4">
        <f t="shared" si="0"/>
        <v>66.5</v>
      </c>
      <c r="N28" s="145"/>
    </row>
    <row r="29" spans="1:14" ht="18.75" customHeight="1">
      <c r="A29" s="820">
        <v>12</v>
      </c>
      <c r="B29" s="218" t="s">
        <v>1574</v>
      </c>
      <c r="C29" s="19">
        <v>7130210809</v>
      </c>
      <c r="D29" s="3" t="s">
        <v>1573</v>
      </c>
      <c r="E29" s="796">
        <v>0.5</v>
      </c>
      <c r="F29" s="451">
        <f>VLOOKUP(C29,'SOR RATE'!A:D,4,0)</f>
        <v>297</v>
      </c>
      <c r="G29" s="4">
        <f t="shared" si="1"/>
        <v>148.5</v>
      </c>
      <c r="H29" s="216">
        <v>2</v>
      </c>
      <c r="I29" s="447">
        <f>VLOOKUP(C29,'SOR RATE'!A:D,4,0)</f>
        <v>297</v>
      </c>
      <c r="J29" s="4">
        <f t="shared" si="2"/>
        <v>594</v>
      </c>
      <c r="K29" s="796">
        <v>0.5</v>
      </c>
      <c r="L29" s="4">
        <f>VLOOKUP(C29,'SOR RATE'!A:D,4,0)</f>
        <v>297</v>
      </c>
      <c r="M29" s="4">
        <f t="shared" si="0"/>
        <v>148.5</v>
      </c>
      <c r="N29" s="145"/>
    </row>
    <row r="30" spans="1:18" ht="21" customHeight="1">
      <c r="A30" s="445">
        <v>13</v>
      </c>
      <c r="B30" s="218" t="s">
        <v>1438</v>
      </c>
      <c r="C30" s="19">
        <v>7130610206</v>
      </c>
      <c r="D30" s="3" t="s">
        <v>1576</v>
      </c>
      <c r="E30" s="219">
        <v>4</v>
      </c>
      <c r="F30" s="451">
        <f>VLOOKUP(C30,'SOR RATE'!A:D,4,0)/1000</f>
        <v>63.963</v>
      </c>
      <c r="G30" s="4">
        <f t="shared" si="1"/>
        <v>255.852</v>
      </c>
      <c r="H30" s="216">
        <v>4</v>
      </c>
      <c r="I30" s="447">
        <f>VLOOKUP(C30,'SOR RATE'!A:D,4,0)/1000</f>
        <v>63.963</v>
      </c>
      <c r="J30" s="4">
        <f t="shared" si="2"/>
        <v>255.852</v>
      </c>
      <c r="K30" s="219">
        <v>4</v>
      </c>
      <c r="L30" s="4">
        <f>VLOOKUP(C30,'SOR RATE'!A:D,4,0)/1000</f>
        <v>63.963</v>
      </c>
      <c r="M30" s="4">
        <f t="shared" si="0"/>
        <v>255.852</v>
      </c>
      <c r="N30" s="1409" t="s">
        <v>231</v>
      </c>
      <c r="O30" s="1420"/>
      <c r="P30" s="144"/>
      <c r="Q30" s="144"/>
      <c r="R30" s="144"/>
    </row>
    <row r="31" spans="1:14" ht="16.5" customHeight="1">
      <c r="A31" s="821">
        <v>14</v>
      </c>
      <c r="B31" s="218" t="s">
        <v>2114</v>
      </c>
      <c r="C31" s="19">
        <v>7130880041</v>
      </c>
      <c r="D31" s="3" t="s">
        <v>83</v>
      </c>
      <c r="E31" s="219">
        <v>1</v>
      </c>
      <c r="F31" s="451">
        <f>VLOOKUP(C31,'SOR RATE'!A:D,4,0)</f>
        <v>62</v>
      </c>
      <c r="G31" s="4">
        <f t="shared" si="1"/>
        <v>62</v>
      </c>
      <c r="H31" s="216">
        <v>1</v>
      </c>
      <c r="I31" s="447">
        <f>VLOOKUP(C31,'SOR RATE'!A:D,4,0)</f>
        <v>62</v>
      </c>
      <c r="J31" s="4">
        <f t="shared" si="2"/>
        <v>62</v>
      </c>
      <c r="K31" s="219">
        <v>1</v>
      </c>
      <c r="L31" s="4">
        <f>VLOOKUP(C31,'SOR RATE'!A:D,4,0)</f>
        <v>62</v>
      </c>
      <c r="M31" s="4">
        <f t="shared" si="0"/>
        <v>62</v>
      </c>
      <c r="N31" s="145"/>
    </row>
    <row r="32" spans="1:14" ht="15">
      <c r="A32" s="1417">
        <v>15</v>
      </c>
      <c r="B32" s="218" t="s">
        <v>1577</v>
      </c>
      <c r="C32" s="19"/>
      <c r="D32" s="3" t="s">
        <v>1576</v>
      </c>
      <c r="E32" s="219">
        <v>7</v>
      </c>
      <c r="F32" s="4"/>
      <c r="G32" s="4"/>
      <c r="H32" s="220">
        <v>7</v>
      </c>
      <c r="I32" s="4"/>
      <c r="J32" s="4"/>
      <c r="K32" s="219">
        <v>7</v>
      </c>
      <c r="L32" s="4"/>
      <c r="M32" s="4"/>
      <c r="N32" s="145"/>
    </row>
    <row r="33" spans="1:14" ht="16.5" customHeight="1">
      <c r="A33" s="1418"/>
      <c r="B33" s="218" t="s">
        <v>56</v>
      </c>
      <c r="C33" s="19">
        <v>7130620609</v>
      </c>
      <c r="D33" s="3" t="s">
        <v>1576</v>
      </c>
      <c r="E33" s="796">
        <v>0.5</v>
      </c>
      <c r="F33" s="451">
        <f>VLOOKUP(C33,'SOR RATE'!A:D,4,0)</f>
        <v>63</v>
      </c>
      <c r="G33" s="4">
        <f>F33*E33</f>
        <v>31.5</v>
      </c>
      <c r="H33" s="220">
        <v>0.5</v>
      </c>
      <c r="I33" s="447">
        <f>VLOOKUP(C33,'SOR RATE'!A:D,4,0)</f>
        <v>63</v>
      </c>
      <c r="J33" s="4">
        <f>I33*H33</f>
        <v>31.5</v>
      </c>
      <c r="K33" s="796">
        <v>0.5</v>
      </c>
      <c r="L33" s="4">
        <f>VLOOKUP(C33,'SOR RATE'!A:D,4,0)</f>
        <v>63</v>
      </c>
      <c r="M33" s="4">
        <f t="shared" si="0"/>
        <v>31.5</v>
      </c>
      <c r="N33" s="145"/>
    </row>
    <row r="34" spans="1:14" ht="15">
      <c r="A34" s="1418"/>
      <c r="B34" s="218" t="s">
        <v>2106</v>
      </c>
      <c r="C34" s="19">
        <v>7130620614</v>
      </c>
      <c r="D34" s="3" t="s">
        <v>1576</v>
      </c>
      <c r="E34" s="796">
        <v>0.5</v>
      </c>
      <c r="F34" s="451">
        <f>VLOOKUP(C34,'SOR RATE'!A:D,4,0)</f>
        <v>62</v>
      </c>
      <c r="G34" s="4">
        <f>F34*E34</f>
        <v>31</v>
      </c>
      <c r="H34" s="220">
        <v>0.5</v>
      </c>
      <c r="I34" s="447">
        <f>VLOOKUP(C34,'SOR RATE'!A:D,4,0)</f>
        <v>62</v>
      </c>
      <c r="J34" s="4">
        <f>I34*H34</f>
        <v>31</v>
      </c>
      <c r="K34" s="796">
        <v>0.5</v>
      </c>
      <c r="L34" s="4">
        <f>VLOOKUP(C34,'SOR RATE'!A:D,4,0)</f>
        <v>62</v>
      </c>
      <c r="M34" s="4">
        <f t="shared" si="0"/>
        <v>31</v>
      </c>
      <c r="N34" s="145"/>
    </row>
    <row r="35" spans="1:14" ht="15">
      <c r="A35" s="1418"/>
      <c r="B35" s="218" t="s">
        <v>2107</v>
      </c>
      <c r="C35" s="19">
        <v>7130620619</v>
      </c>
      <c r="D35" s="3" t="s">
        <v>1576</v>
      </c>
      <c r="E35" s="4"/>
      <c r="F35" s="451">
        <f>VLOOKUP(C35,'SOR RATE'!A:D,4,0)</f>
        <v>62</v>
      </c>
      <c r="G35" s="4"/>
      <c r="H35" s="220">
        <v>2.5</v>
      </c>
      <c r="I35" s="447">
        <f>VLOOKUP(C35,'SOR RATE'!A:D,4,0)</f>
        <v>62</v>
      </c>
      <c r="J35" s="4">
        <f>I35*H35</f>
        <v>155</v>
      </c>
      <c r="K35" s="4"/>
      <c r="L35" s="4">
        <f>VLOOKUP(C35,'SOR RATE'!A:D,4,0)</f>
        <v>62</v>
      </c>
      <c r="M35" s="4"/>
      <c r="N35" s="145"/>
    </row>
    <row r="36" spans="1:14" ht="16.5" customHeight="1">
      <c r="A36" s="1418"/>
      <c r="B36" s="218" t="s">
        <v>2108</v>
      </c>
      <c r="C36" s="19">
        <v>7130620625</v>
      </c>
      <c r="D36" s="3" t="s">
        <v>1576</v>
      </c>
      <c r="E36" s="219">
        <v>2</v>
      </c>
      <c r="F36" s="451">
        <f>VLOOKUP(C36,'SOR RATE'!A:D,4,0)</f>
        <v>61</v>
      </c>
      <c r="G36" s="4">
        <f>F36*E36</f>
        <v>122</v>
      </c>
      <c r="H36" s="220"/>
      <c r="I36" s="4"/>
      <c r="J36" s="4"/>
      <c r="K36" s="219">
        <v>2</v>
      </c>
      <c r="L36" s="4">
        <f>VLOOKUP(C36,'SOR RATE'!A:D,4,0)</f>
        <v>61</v>
      </c>
      <c r="M36" s="4">
        <f t="shared" si="0"/>
        <v>122</v>
      </c>
      <c r="N36" s="145"/>
    </row>
    <row r="37" spans="1:14" ht="15">
      <c r="A37" s="1419"/>
      <c r="B37" s="218" t="s">
        <v>2121</v>
      </c>
      <c r="C37" s="19">
        <v>7130620631</v>
      </c>
      <c r="D37" s="3" t="s">
        <v>1576</v>
      </c>
      <c r="E37" s="219">
        <v>4</v>
      </c>
      <c r="F37" s="451">
        <f>VLOOKUP(C37,'SOR RATE'!A:D,4,0)</f>
        <v>61</v>
      </c>
      <c r="G37" s="4">
        <f>F37*E37</f>
        <v>244</v>
      </c>
      <c r="H37" s="220">
        <v>3.5</v>
      </c>
      <c r="I37" s="447">
        <f>VLOOKUP(C37,'SOR RATE'!A:D,4,0)</f>
        <v>61</v>
      </c>
      <c r="J37" s="4">
        <f>I37*H37</f>
        <v>213.5</v>
      </c>
      <c r="K37" s="219">
        <v>4</v>
      </c>
      <c r="L37" s="4">
        <f>VLOOKUP(C37,'SOR RATE'!A:D,4,0)</f>
        <v>61</v>
      </c>
      <c r="M37" s="4">
        <f t="shared" si="0"/>
        <v>244</v>
      </c>
      <c r="N37" s="145"/>
    </row>
    <row r="38" spans="1:14" ht="16.5" customHeight="1">
      <c r="A38" s="822">
        <v>16</v>
      </c>
      <c r="B38" s="799" t="s">
        <v>1052</v>
      </c>
      <c r="C38" s="823"/>
      <c r="D38" s="824"/>
      <c r="E38" s="127"/>
      <c r="F38" s="825"/>
      <c r="G38" s="825">
        <f>SUM(G8:G37)</f>
        <v>33108.632</v>
      </c>
      <c r="H38" s="826"/>
      <c r="I38" s="827"/>
      <c r="J38" s="6">
        <f>SUM(J8:J37)</f>
        <v>60661.217</v>
      </c>
      <c r="K38" s="6"/>
      <c r="L38" s="6"/>
      <c r="M38" s="6">
        <f>SUM(M8:M37)</f>
        <v>37171.832</v>
      </c>
      <c r="N38" s="145"/>
    </row>
    <row r="39" spans="1:14" ht="19.5" customHeight="1">
      <c r="A39" s="445">
        <v>17</v>
      </c>
      <c r="B39" s="218" t="s">
        <v>1051</v>
      </c>
      <c r="C39" s="828"/>
      <c r="D39" s="828"/>
      <c r="E39" s="829"/>
      <c r="F39" s="19">
        <v>0.09</v>
      </c>
      <c r="G39" s="4">
        <f>G38*F39</f>
        <v>2979.77688</v>
      </c>
      <c r="H39" s="793"/>
      <c r="I39" s="793"/>
      <c r="J39" s="4">
        <f>J38*F39</f>
        <v>5459.509529999999</v>
      </c>
      <c r="K39" s="4"/>
      <c r="L39" s="4">
        <v>0.09</v>
      </c>
      <c r="M39" s="4">
        <f>M38*L39</f>
        <v>3345.46488</v>
      </c>
      <c r="N39" s="193"/>
    </row>
    <row r="40" spans="1:14" ht="19.5" customHeight="1">
      <c r="A40" s="830">
        <v>18</v>
      </c>
      <c r="B40" s="218" t="s">
        <v>91</v>
      </c>
      <c r="C40" s="607"/>
      <c r="D40" s="3" t="s">
        <v>1571</v>
      </c>
      <c r="E40" s="796">
        <v>2.9</v>
      </c>
      <c r="F40" s="4">
        <f>1664*1.27*1.0891*1.086275*1.1112*1.0685*1.06217</f>
        <v>3153.010200829536</v>
      </c>
      <c r="G40" s="4">
        <f>F40*E40</f>
        <v>9143.729582405655</v>
      </c>
      <c r="H40" s="216">
        <v>3.1</v>
      </c>
      <c r="I40" s="4">
        <f>+F40</f>
        <v>3153.010200829536</v>
      </c>
      <c r="J40" s="4">
        <f>I40*H40</f>
        <v>9774.331622571563</v>
      </c>
      <c r="K40" s="4">
        <v>3.1</v>
      </c>
      <c r="L40" s="4">
        <f>+F40</f>
        <v>3153.010200829536</v>
      </c>
      <c r="M40" s="4">
        <f>K40*L40</f>
        <v>9774.331622571563</v>
      </c>
      <c r="N40" s="145"/>
    </row>
    <row r="41" spans="1:15" ht="37.5" customHeight="1">
      <c r="A41" s="830">
        <v>19</v>
      </c>
      <c r="B41" s="218" t="s">
        <v>517</v>
      </c>
      <c r="C41" s="831"/>
      <c r="D41" s="3" t="s">
        <v>83</v>
      </c>
      <c r="E41" s="789">
        <v>2</v>
      </c>
      <c r="F41" s="790">
        <f>+'A-2 (A)'!E38</f>
        <v>273.2594915401317</v>
      </c>
      <c r="G41" s="4">
        <f>F41*E41</f>
        <v>546.5189830802634</v>
      </c>
      <c r="H41" s="220"/>
      <c r="I41" s="790"/>
      <c r="J41" s="790"/>
      <c r="K41" s="4"/>
      <c r="L41" s="4"/>
      <c r="M41" s="790"/>
      <c r="N41" s="1421" t="s">
        <v>519</v>
      </c>
      <c r="O41" s="1422"/>
    </row>
    <row r="42" spans="1:14" ht="19.5" customHeight="1">
      <c r="A42" s="220">
        <v>20</v>
      </c>
      <c r="B42" s="832" t="s">
        <v>697</v>
      </c>
      <c r="C42" s="831"/>
      <c r="D42" s="832"/>
      <c r="E42" s="220"/>
      <c r="F42" s="790"/>
      <c r="G42" s="790">
        <v>7801.32</v>
      </c>
      <c r="H42" s="220"/>
      <c r="I42" s="790"/>
      <c r="J42" s="790">
        <v>8185.4</v>
      </c>
      <c r="K42" s="779"/>
      <c r="L42" s="779"/>
      <c r="M42" s="790">
        <v>8362.16</v>
      </c>
      <c r="N42" s="145"/>
    </row>
    <row r="43" spans="1:14" ht="50.25" customHeight="1">
      <c r="A43" s="220">
        <v>21</v>
      </c>
      <c r="B43" s="832" t="s">
        <v>2122</v>
      </c>
      <c r="C43" s="831"/>
      <c r="D43" s="832"/>
      <c r="E43" s="220"/>
      <c r="F43" s="790"/>
      <c r="G43" s="790">
        <f>1.1*1.1*2289*1.2*1.1*1.1797*1.1402*0.9368*0.87</f>
        <v>4007.964304284355</v>
      </c>
      <c r="H43" s="220"/>
      <c r="I43" s="790"/>
      <c r="J43" s="790">
        <f>1.1*1.1*2289*1.2*1.1*1.1797*1.1402*0.9368*0.87</f>
        <v>4007.964304284355</v>
      </c>
      <c r="K43" s="779"/>
      <c r="L43" s="779"/>
      <c r="M43" s="790">
        <f>1.1*1.1*2289*1.2*1.1*1.1797*1.1402*0.9368*0.87</f>
        <v>4007.964304284355</v>
      </c>
      <c r="N43" s="145"/>
    </row>
    <row r="44" spans="1:14" ht="18.75" customHeight="1">
      <c r="A44" s="127">
        <v>22</v>
      </c>
      <c r="B44" s="799" t="s">
        <v>1053</v>
      </c>
      <c r="C44" s="831"/>
      <c r="D44" s="832"/>
      <c r="E44" s="220"/>
      <c r="F44" s="790"/>
      <c r="G44" s="825">
        <f>G38+G39+G40+G41+G42+G43</f>
        <v>57587.94174977027</v>
      </c>
      <c r="H44" s="825"/>
      <c r="I44" s="825"/>
      <c r="J44" s="825">
        <f>J38+J39+J40+J41+J42+J43</f>
        <v>88088.42245685591</v>
      </c>
      <c r="K44" s="825"/>
      <c r="L44" s="825"/>
      <c r="M44" s="825">
        <f>M38+M39+M40+M41+M42+M43</f>
        <v>62661.75280685592</v>
      </c>
      <c r="N44" s="145"/>
    </row>
    <row r="45" spans="1:14" ht="39" customHeight="1">
      <c r="A45" s="220">
        <v>23</v>
      </c>
      <c r="B45" s="218" t="s">
        <v>1054</v>
      </c>
      <c r="C45" s="831"/>
      <c r="D45" s="832"/>
      <c r="E45" s="220"/>
      <c r="F45" s="790">
        <v>0.11</v>
      </c>
      <c r="G45" s="790">
        <f>G38*F45</f>
        <v>3641.9495199999997</v>
      </c>
      <c r="H45" s="220"/>
      <c r="I45" s="790">
        <v>0.11</v>
      </c>
      <c r="J45" s="790">
        <f>J38*I45</f>
        <v>6672.73387</v>
      </c>
      <c r="K45" s="4"/>
      <c r="L45" s="4">
        <v>0.11</v>
      </c>
      <c r="M45" s="4">
        <f>M38*L45</f>
        <v>4088.9015200000003</v>
      </c>
      <c r="N45" s="145"/>
    </row>
    <row r="46" spans="1:14" s="57" customFormat="1" ht="20.25" customHeight="1">
      <c r="A46" s="216">
        <v>24</v>
      </c>
      <c r="B46" s="455" t="s">
        <v>1246</v>
      </c>
      <c r="C46" s="607"/>
      <c r="D46" s="455"/>
      <c r="E46" s="216"/>
      <c r="F46" s="216"/>
      <c r="G46" s="4">
        <f>G44+G45</f>
        <v>61229.89126977027</v>
      </c>
      <c r="H46" s="4"/>
      <c r="I46" s="4"/>
      <c r="J46" s="4">
        <f>J44+J45</f>
        <v>94761.15632685591</v>
      </c>
      <c r="K46" s="4"/>
      <c r="L46" s="4"/>
      <c r="M46" s="4">
        <f>M44+M45</f>
        <v>66750.65432685592</v>
      </c>
      <c r="N46" s="356"/>
    </row>
    <row r="47" spans="1:14" ht="34.5" customHeight="1">
      <c r="A47" s="30">
        <v>25</v>
      </c>
      <c r="B47" s="833" t="s">
        <v>696</v>
      </c>
      <c r="C47" s="607"/>
      <c r="D47" s="455"/>
      <c r="E47" s="216"/>
      <c r="F47" s="216"/>
      <c r="G47" s="6">
        <f>ROUND(G46,0)</f>
        <v>61230</v>
      </c>
      <c r="H47" s="216"/>
      <c r="I47" s="4"/>
      <c r="J47" s="6">
        <f>ROUND(J46,0)</f>
        <v>94761</v>
      </c>
      <c r="K47" s="6"/>
      <c r="L47" s="6"/>
      <c r="M47" s="6">
        <f>ROUND(M46,0)</f>
        <v>66751</v>
      </c>
      <c r="N47" s="145"/>
    </row>
    <row r="48" spans="1:10" ht="9.75" customHeight="1">
      <c r="A48" s="88"/>
      <c r="B48" s="82"/>
      <c r="C48" s="89"/>
      <c r="D48" s="90"/>
      <c r="E48" s="87"/>
      <c r="F48" s="87"/>
      <c r="G48" s="54"/>
      <c r="H48" s="87"/>
      <c r="I48" s="53"/>
      <c r="J48" s="54"/>
    </row>
    <row r="49" spans="1:10" ht="15.75">
      <c r="A49" s="58" t="s">
        <v>129</v>
      </c>
      <c r="B49" s="14"/>
      <c r="C49" s="15"/>
      <c r="D49" s="14"/>
      <c r="E49" s="16"/>
      <c r="F49" s="16"/>
      <c r="G49" s="17"/>
      <c r="H49" s="16"/>
      <c r="I49" s="16"/>
      <c r="J49" s="16"/>
    </row>
    <row r="50" spans="1:10" ht="15">
      <c r="A50" s="91">
        <v>1</v>
      </c>
      <c r="B50" s="92" t="s">
        <v>1725</v>
      </c>
      <c r="C50" s="93"/>
      <c r="D50" s="13"/>
      <c r="E50" s="13"/>
      <c r="F50" s="13"/>
      <c r="G50" s="13"/>
      <c r="H50" s="13"/>
      <c r="I50" s="13"/>
      <c r="J50" s="13"/>
    </row>
    <row r="51" spans="1:10" ht="15" customHeight="1">
      <c r="A51" s="59">
        <v>2</v>
      </c>
      <c r="B51" s="1423" t="s">
        <v>130</v>
      </c>
      <c r="C51" s="1423"/>
      <c r="D51" s="94"/>
      <c r="E51" s="94"/>
      <c r="F51" s="94"/>
      <c r="G51" s="94"/>
      <c r="H51" s="94"/>
      <c r="I51" s="94"/>
      <c r="J51" s="94"/>
    </row>
    <row r="52" spans="1:10" ht="27.75" customHeight="1">
      <c r="A52" s="60"/>
      <c r="B52" s="56"/>
      <c r="C52" s="56"/>
      <c r="D52" s="56"/>
      <c r="E52" s="56"/>
      <c r="F52" s="56"/>
      <c r="G52" s="56"/>
      <c r="H52" s="56"/>
      <c r="I52" s="56"/>
      <c r="J52" s="56"/>
    </row>
    <row r="62" spans="2:5" ht="18">
      <c r="B62" s="1375" t="s">
        <v>227</v>
      </c>
      <c r="C62" s="1375"/>
      <c r="D62" s="1375"/>
      <c r="E62" s="1375"/>
    </row>
    <row r="64" spans="1:13" ht="30">
      <c r="A64" s="220">
        <v>1</v>
      </c>
      <c r="B64" s="218" t="s">
        <v>922</v>
      </c>
      <c r="C64" s="19">
        <v>7130601072</v>
      </c>
      <c r="D64" s="3" t="s">
        <v>1576</v>
      </c>
      <c r="E64" s="87"/>
      <c r="F64" s="53"/>
      <c r="G64" s="53"/>
      <c r="H64" s="87"/>
      <c r="I64" s="606"/>
      <c r="J64" s="53"/>
      <c r="K64" s="53"/>
      <c r="L64" s="53"/>
      <c r="M64" s="53"/>
    </row>
    <row r="65" spans="1:13" ht="30">
      <c r="A65" s="1417">
        <v>6</v>
      </c>
      <c r="B65" s="445" t="s">
        <v>1726</v>
      </c>
      <c r="C65" s="19"/>
      <c r="D65" s="216" t="s">
        <v>83</v>
      </c>
      <c r="E65" s="87"/>
      <c r="F65" s="53"/>
      <c r="G65" s="53"/>
      <c r="H65" s="87"/>
      <c r="I65" s="53"/>
      <c r="J65" s="53"/>
      <c r="K65" s="605"/>
      <c r="L65" s="53"/>
      <c r="M65" s="53"/>
    </row>
    <row r="66" spans="1:13" ht="15">
      <c r="A66" s="1418"/>
      <c r="B66" s="218" t="s">
        <v>2119</v>
      </c>
      <c r="C66" s="19">
        <v>7130810201</v>
      </c>
      <c r="D66" s="3" t="s">
        <v>83</v>
      </c>
      <c r="E66" s="87"/>
      <c r="F66" s="53"/>
      <c r="G66" s="53"/>
      <c r="H66" s="87"/>
      <c r="I66" s="606"/>
      <c r="J66" s="53"/>
      <c r="K66" s="53"/>
      <c r="L66" s="53"/>
      <c r="M66" s="53"/>
    </row>
    <row r="67" spans="1:13" ht="15">
      <c r="A67" s="1418"/>
      <c r="B67" s="218" t="s">
        <v>2120</v>
      </c>
      <c r="C67" s="19">
        <v>7130810251</v>
      </c>
      <c r="D67" s="3" t="s">
        <v>83</v>
      </c>
      <c r="E67" s="87"/>
      <c r="F67" s="53"/>
      <c r="G67" s="53"/>
      <c r="H67" s="87"/>
      <c r="I67" s="606"/>
      <c r="J67" s="53"/>
      <c r="K67" s="53"/>
      <c r="L67" s="53"/>
      <c r="M67" s="53"/>
    </row>
    <row r="68" spans="1:13" ht="15">
      <c r="A68" s="1385">
        <v>7</v>
      </c>
      <c r="B68" s="218" t="s">
        <v>497</v>
      </c>
      <c r="C68" s="19">
        <v>7130810201</v>
      </c>
      <c r="D68" s="3" t="s">
        <v>83</v>
      </c>
      <c r="E68" s="605"/>
      <c r="F68" s="53"/>
      <c r="G68" s="53"/>
      <c r="H68" s="87"/>
      <c r="I68" s="606"/>
      <c r="J68" s="53"/>
      <c r="K68" s="53"/>
      <c r="L68" s="53"/>
      <c r="M68" s="53"/>
    </row>
    <row r="69" spans="1:13" ht="15">
      <c r="A69" s="1385"/>
      <c r="B69" s="218" t="s">
        <v>498</v>
      </c>
      <c r="C69" s="19">
        <v>7130810251</v>
      </c>
      <c r="D69" s="3" t="s">
        <v>83</v>
      </c>
      <c r="E69" s="605"/>
      <c r="F69" s="53"/>
      <c r="G69" s="53"/>
      <c r="H69" s="87"/>
      <c r="I69" s="606"/>
      <c r="J69" s="53"/>
      <c r="K69" s="53"/>
      <c r="L69" s="53"/>
      <c r="M69" s="53"/>
    </row>
    <row r="70" spans="5:13" ht="12.75">
      <c r="E70" s="145"/>
      <c r="F70" s="145"/>
      <c r="G70" s="145"/>
      <c r="H70" s="145"/>
      <c r="I70" s="145"/>
      <c r="J70" s="145"/>
      <c r="K70" s="145"/>
      <c r="L70" s="145"/>
      <c r="M70" s="145"/>
    </row>
  </sheetData>
  <sheetProtection/>
  <mergeCells count="22">
    <mergeCell ref="N30:O30"/>
    <mergeCell ref="N41:O41"/>
    <mergeCell ref="N25:O25"/>
    <mergeCell ref="B62:E62"/>
    <mergeCell ref="A65:A67"/>
    <mergeCell ref="B51:C51"/>
    <mergeCell ref="B5:B6"/>
    <mergeCell ref="A15:A18"/>
    <mergeCell ref="A32:A37"/>
    <mergeCell ref="A24:A26"/>
    <mergeCell ref="A19:A22"/>
    <mergeCell ref="A68:A69"/>
    <mergeCell ref="B3:I3"/>
    <mergeCell ref="C1:F1"/>
    <mergeCell ref="K2:L2"/>
    <mergeCell ref="A8:A10"/>
    <mergeCell ref="A5:A6"/>
    <mergeCell ref="E5:G5"/>
    <mergeCell ref="K5:M5"/>
    <mergeCell ref="H5:J5"/>
    <mergeCell ref="C5:C6"/>
    <mergeCell ref="D5:D6"/>
  </mergeCells>
  <printOptions gridLines="1" horizontalCentered="1"/>
  <pageMargins left="0.52" right="0.16" top="0.61" bottom="0.24" header="0.47" footer="0.16"/>
  <pageSetup horizontalDpi="300" verticalDpi="300" orientation="landscape" paperSize="9" scale="85" r:id="rId1"/>
</worksheet>
</file>

<file path=xl/worksheets/sheet6.xml><?xml version="1.0" encoding="utf-8"?>
<worksheet xmlns="http://schemas.openxmlformats.org/spreadsheetml/2006/main" xmlns:r="http://schemas.openxmlformats.org/officeDocument/2006/relationships">
  <sheetPr>
    <tabColor indexed="15"/>
  </sheetPr>
  <dimension ref="A1:Q83"/>
  <sheetViews>
    <sheetView zoomScale="85" zoomScaleNormal="85" zoomScaleSheetLayoutView="75" zoomScalePageLayoutView="0" workbookViewId="0" topLeftCell="A7">
      <pane xSplit="2" ySplit="3" topLeftCell="C52" activePane="bottomRight" state="frozen"/>
      <selection pane="topLeft" activeCell="A7" sqref="A7"/>
      <selection pane="topRight" activeCell="C7" sqref="C7"/>
      <selection pane="bottomLeft" activeCell="A10" sqref="A10"/>
      <selection pane="bottomRight" activeCell="N77" sqref="N77"/>
    </sheetView>
  </sheetViews>
  <sheetFormatPr defaultColWidth="9.140625" defaultRowHeight="12.75"/>
  <cols>
    <col min="1" max="1" width="4.421875" style="11" customWidth="1"/>
    <col min="2" max="2" width="41.7109375" style="1" customWidth="1"/>
    <col min="3" max="3" width="14.421875" style="65" customWidth="1"/>
    <col min="4" max="4" width="5.7109375" style="11" customWidth="1"/>
    <col min="5" max="5" width="6.7109375" style="12" customWidth="1"/>
    <col min="6" max="6" width="11.28125" style="12" bestFit="1" customWidth="1"/>
    <col min="7" max="7" width="12.28125" style="12" customWidth="1"/>
    <col min="8" max="8" width="6.7109375" style="12" customWidth="1"/>
    <col min="9" max="9" width="11.28125" style="12" bestFit="1" customWidth="1"/>
    <col min="10" max="10" width="12.28125" style="12" customWidth="1"/>
    <col min="11" max="11" width="6.57421875" style="1" bestFit="1" customWidth="1"/>
    <col min="12" max="12" width="11.28125" style="1" bestFit="1" customWidth="1"/>
    <col min="13" max="13" width="12.28125" style="1" customWidth="1"/>
    <col min="14" max="14" width="27.00390625" style="1" customWidth="1"/>
    <col min="15" max="15" width="16.7109375" style="1" customWidth="1"/>
    <col min="16" max="16384" width="9.140625" style="1" customWidth="1"/>
  </cols>
  <sheetData>
    <row r="1" spans="2:10" ht="22.5" customHeight="1">
      <c r="B1" s="129"/>
      <c r="C1" s="1424" t="s">
        <v>1259</v>
      </c>
      <c r="D1" s="1424"/>
      <c r="E1" s="1424"/>
      <c r="F1" s="1424"/>
      <c r="G1" s="215"/>
      <c r="H1" s="129"/>
      <c r="I1" s="129"/>
      <c r="J1" s="129"/>
    </row>
    <row r="2" spans="2:10" ht="10.5" customHeight="1">
      <c r="B2" s="129"/>
      <c r="C2" s="130"/>
      <c r="D2" s="129"/>
      <c r="E2" s="131"/>
      <c r="F2" s="131"/>
      <c r="G2" s="131"/>
      <c r="H2" s="129"/>
      <c r="I2" s="129"/>
      <c r="J2" s="129"/>
    </row>
    <row r="3" spans="2:10" ht="30.75" customHeight="1">
      <c r="B3" s="1426" t="s">
        <v>543</v>
      </c>
      <c r="C3" s="1426"/>
      <c r="D3" s="1426"/>
      <c r="E3" s="1426"/>
      <c r="F3" s="1426"/>
      <c r="G3" s="1426"/>
      <c r="H3" s="1426"/>
      <c r="I3" s="1426"/>
      <c r="J3" s="1426"/>
    </row>
    <row r="4" spans="1:10" ht="12.75" customHeight="1">
      <c r="A4" s="118"/>
      <c r="B4" s="118"/>
      <c r="C4" s="118"/>
      <c r="D4" s="118"/>
      <c r="E4" s="118"/>
      <c r="F4" s="118"/>
      <c r="G4" s="118"/>
      <c r="H4" s="118"/>
      <c r="I4" s="118"/>
      <c r="J4" s="118"/>
    </row>
    <row r="5" spans="1:13" ht="19.5" customHeight="1">
      <c r="A5" s="74"/>
      <c r="B5" s="71"/>
      <c r="C5" s="95"/>
      <c r="D5" s="71"/>
      <c r="E5" s="71"/>
      <c r="F5" s="71"/>
      <c r="G5" s="71"/>
      <c r="H5" s="72"/>
      <c r="I5" s="1426" t="s">
        <v>244</v>
      </c>
      <c r="J5" s="1426"/>
      <c r="K5" s="212"/>
      <c r="L5" s="212"/>
      <c r="M5" s="212"/>
    </row>
    <row r="6" spans="1:10" ht="9.75" customHeight="1">
      <c r="A6" s="74"/>
      <c r="B6" s="71"/>
      <c r="C6" s="74"/>
      <c r="D6" s="71"/>
      <c r="E6" s="71"/>
      <c r="F6" s="71"/>
      <c r="G6" s="71"/>
      <c r="H6" s="72"/>
      <c r="I6" s="73"/>
      <c r="J6" s="73"/>
    </row>
    <row r="7" spans="1:13" ht="33" customHeight="1">
      <c r="A7" s="1383" t="s">
        <v>78</v>
      </c>
      <c r="B7" s="1383" t="s">
        <v>79</v>
      </c>
      <c r="C7" s="1384" t="s">
        <v>88</v>
      </c>
      <c r="D7" s="1383" t="s">
        <v>80</v>
      </c>
      <c r="E7" s="1425" t="s">
        <v>81</v>
      </c>
      <c r="F7" s="1425"/>
      <c r="G7" s="1425"/>
      <c r="H7" s="1425" t="s">
        <v>278</v>
      </c>
      <c r="I7" s="1425"/>
      <c r="J7" s="1425"/>
      <c r="K7" s="1425" t="s">
        <v>41</v>
      </c>
      <c r="L7" s="1425"/>
      <c r="M7" s="1425"/>
    </row>
    <row r="8" spans="1:13" s="62" customFormat="1" ht="17.25" customHeight="1">
      <c r="A8" s="1383"/>
      <c r="B8" s="1383"/>
      <c r="C8" s="1385"/>
      <c r="D8" s="1383"/>
      <c r="E8" s="30" t="s">
        <v>86</v>
      </c>
      <c r="F8" s="30" t="s">
        <v>601</v>
      </c>
      <c r="G8" s="124" t="s">
        <v>2047</v>
      </c>
      <c r="H8" s="30" t="s">
        <v>86</v>
      </c>
      <c r="I8" s="30" t="s">
        <v>601</v>
      </c>
      <c r="J8" s="124" t="s">
        <v>2047</v>
      </c>
      <c r="K8" s="6" t="s">
        <v>86</v>
      </c>
      <c r="L8" s="6" t="s">
        <v>601</v>
      </c>
      <c r="M8" s="6" t="s">
        <v>2047</v>
      </c>
    </row>
    <row r="9" spans="1:13" s="62" customFormat="1" ht="15.75">
      <c r="A9" s="116">
        <v>1</v>
      </c>
      <c r="B9" s="116">
        <v>2</v>
      </c>
      <c r="C9" s="30">
        <v>3</v>
      </c>
      <c r="D9" s="116">
        <v>4</v>
      </c>
      <c r="E9" s="66">
        <v>5</v>
      </c>
      <c r="F9" s="66">
        <v>6</v>
      </c>
      <c r="G9" s="66">
        <v>7</v>
      </c>
      <c r="H9" s="66">
        <v>8</v>
      </c>
      <c r="I9" s="66">
        <v>9</v>
      </c>
      <c r="J9" s="66">
        <v>10</v>
      </c>
      <c r="K9" s="66">
        <v>11</v>
      </c>
      <c r="L9" s="66">
        <v>12</v>
      </c>
      <c r="M9" s="66">
        <v>13</v>
      </c>
    </row>
    <row r="10" spans="1:13" ht="18.75" customHeight="1">
      <c r="A10" s="3">
        <v>1</v>
      </c>
      <c r="B10" s="218" t="s">
        <v>1720</v>
      </c>
      <c r="C10" s="19">
        <v>7130800033</v>
      </c>
      <c r="D10" s="3" t="s">
        <v>83</v>
      </c>
      <c r="E10" s="219">
        <v>10</v>
      </c>
      <c r="F10" s="4">
        <f>VLOOKUP(C10,'SOR RATE'!A:D,4,0)</f>
        <v>2993</v>
      </c>
      <c r="G10" s="4">
        <f>F10*E10</f>
        <v>29930</v>
      </c>
      <c r="H10" s="4"/>
      <c r="I10" s="4"/>
      <c r="J10" s="4"/>
      <c r="K10" s="459"/>
      <c r="L10" s="459"/>
      <c r="M10" s="459"/>
    </row>
    <row r="11" spans="1:13" ht="36" customHeight="1">
      <c r="A11" s="19">
        <v>2</v>
      </c>
      <c r="B11" s="218" t="s">
        <v>457</v>
      </c>
      <c r="C11" s="19">
        <v>7130601958</v>
      </c>
      <c r="D11" s="3" t="s">
        <v>1576</v>
      </c>
      <c r="E11" s="219"/>
      <c r="F11" s="4"/>
      <c r="G11" s="4"/>
      <c r="H11" s="219">
        <v>4823</v>
      </c>
      <c r="I11" s="447">
        <f>VLOOKUP(C11,'SOR RATE'!A:D,4,0)/1000</f>
        <v>32.575</v>
      </c>
      <c r="J11" s="4">
        <f>I11*H11</f>
        <v>157109.225</v>
      </c>
      <c r="K11" s="459"/>
      <c r="L11" s="459"/>
      <c r="M11" s="459"/>
    </row>
    <row r="12" spans="1:14" ht="20.25" customHeight="1">
      <c r="A12" s="19">
        <v>3</v>
      </c>
      <c r="B12" s="218" t="s">
        <v>42</v>
      </c>
      <c r="C12" s="19"/>
      <c r="D12" s="3" t="s">
        <v>83</v>
      </c>
      <c r="E12" s="219"/>
      <c r="F12" s="4"/>
      <c r="G12" s="4"/>
      <c r="H12" s="219"/>
      <c r="I12" s="447"/>
      <c r="J12" s="4"/>
      <c r="K12" s="460">
        <v>10</v>
      </c>
      <c r="L12" s="447">
        <v>4515</v>
      </c>
      <c r="M12" s="447">
        <f>K12*L12</f>
        <v>45150</v>
      </c>
      <c r="N12" s="558"/>
    </row>
    <row r="13" spans="1:13" ht="18.75" customHeight="1">
      <c r="A13" s="19">
        <v>4</v>
      </c>
      <c r="B13" s="218" t="s">
        <v>241</v>
      </c>
      <c r="C13" s="19">
        <v>7130810595</v>
      </c>
      <c r="D13" s="3" t="s">
        <v>83</v>
      </c>
      <c r="E13" s="219">
        <v>10</v>
      </c>
      <c r="F13" s="4">
        <f>VLOOKUP(C13,'SOR RATE'!A:D,4,0)</f>
        <v>1927.4</v>
      </c>
      <c r="G13" s="4">
        <f aca="true" t="shared" si="0" ref="G13:G24">F13*E13</f>
        <v>19274</v>
      </c>
      <c r="H13" s="219">
        <v>10</v>
      </c>
      <c r="I13" s="447">
        <f>VLOOKUP(C13,'SOR RATE'!A:D,4,0)</f>
        <v>1927.4</v>
      </c>
      <c r="J13" s="4">
        <f>I13*H13</f>
        <v>19274</v>
      </c>
      <c r="K13" s="460">
        <v>10</v>
      </c>
      <c r="L13" s="447">
        <f>VLOOKUP(C13,'SOR RATE'!A:D,4,0)</f>
        <v>1927.4</v>
      </c>
      <c r="M13" s="447">
        <f aca="true" t="shared" si="1" ref="M13:M50">K13*L13</f>
        <v>19274</v>
      </c>
    </row>
    <row r="14" spans="1:13" ht="15">
      <c r="A14" s="1376">
        <v>5</v>
      </c>
      <c r="B14" s="218" t="s">
        <v>1743</v>
      </c>
      <c r="C14" s="448"/>
      <c r="D14" s="448"/>
      <c r="E14" s="449"/>
      <c r="F14" s="449"/>
      <c r="G14" s="449"/>
      <c r="H14" s="449"/>
      <c r="I14" s="449"/>
      <c r="J14" s="450"/>
      <c r="K14" s="460"/>
      <c r="L14" s="447"/>
      <c r="M14" s="447"/>
    </row>
    <row r="15" spans="1:13" ht="15.75" customHeight="1">
      <c r="A15" s="1377"/>
      <c r="B15" s="218" t="s">
        <v>1244</v>
      </c>
      <c r="C15" s="19">
        <v>7130810193</v>
      </c>
      <c r="D15" s="3" t="s">
        <v>83</v>
      </c>
      <c r="E15" s="219">
        <v>10</v>
      </c>
      <c r="F15" s="4">
        <f>VLOOKUP(C15,'SOR RATE'!A:D,4,0)</f>
        <v>225.04</v>
      </c>
      <c r="G15" s="4">
        <f t="shared" si="0"/>
        <v>2250.4</v>
      </c>
      <c r="H15" s="219"/>
      <c r="I15" s="4"/>
      <c r="J15" s="4"/>
      <c r="K15" s="460">
        <v>10</v>
      </c>
      <c r="L15" s="447">
        <f>VLOOKUP(C15,'SOR RATE'!A:D,4,0)</f>
        <v>225.04</v>
      </c>
      <c r="M15" s="447">
        <f t="shared" si="1"/>
        <v>2250.4</v>
      </c>
    </row>
    <row r="16" spans="1:13" ht="15">
      <c r="A16" s="1377"/>
      <c r="B16" s="218" t="s">
        <v>297</v>
      </c>
      <c r="C16" s="19">
        <v>7130810692</v>
      </c>
      <c r="D16" s="3" t="s">
        <v>83</v>
      </c>
      <c r="E16" s="219"/>
      <c r="F16" s="4"/>
      <c r="G16" s="4"/>
      <c r="H16" s="219">
        <v>10</v>
      </c>
      <c r="I16" s="447">
        <f>VLOOKUP(C16,'SOR RATE'!A:D,4,0)</f>
        <v>249.66</v>
      </c>
      <c r="J16" s="4">
        <f>I16*H16</f>
        <v>2496.6</v>
      </c>
      <c r="K16" s="447"/>
      <c r="L16" s="447"/>
      <c r="M16" s="447"/>
    </row>
    <row r="17" spans="1:13" ht="18" customHeight="1">
      <c r="A17" s="19">
        <v>6</v>
      </c>
      <c r="B17" s="218" t="s">
        <v>1251</v>
      </c>
      <c r="C17" s="19">
        <v>7130810676</v>
      </c>
      <c r="D17" s="3" t="s">
        <v>83</v>
      </c>
      <c r="E17" s="219">
        <v>10</v>
      </c>
      <c r="F17" s="4">
        <f>VLOOKUP(C17,'SOR RATE'!A:D,4,0)</f>
        <v>320.68</v>
      </c>
      <c r="G17" s="4">
        <f t="shared" si="0"/>
        <v>3206.8</v>
      </c>
      <c r="H17" s="219">
        <v>10</v>
      </c>
      <c r="I17" s="447">
        <f>VLOOKUP(C17,'SOR RATE'!A:D,4,0)</f>
        <v>320.68</v>
      </c>
      <c r="J17" s="4">
        <f aca="true" t="shared" si="2" ref="J17:J22">I17*H17</f>
        <v>3206.8</v>
      </c>
      <c r="K17" s="460">
        <v>10</v>
      </c>
      <c r="L17" s="447">
        <f>VLOOKUP(C17,'SOR RATE'!A:D,4,0)</f>
        <v>320.68</v>
      </c>
      <c r="M17" s="447">
        <f t="shared" si="1"/>
        <v>3206.8</v>
      </c>
    </row>
    <row r="18" spans="1:13" ht="34.5" customHeight="1">
      <c r="A18" s="19">
        <v>7</v>
      </c>
      <c r="B18" s="218" t="s">
        <v>84</v>
      </c>
      <c r="C18" s="19">
        <v>7130870013</v>
      </c>
      <c r="D18" s="3" t="s">
        <v>83</v>
      </c>
      <c r="E18" s="219">
        <v>10</v>
      </c>
      <c r="F18" s="4">
        <f>VLOOKUP(C18,'SOR RATE'!A:D,4,0)</f>
        <v>97</v>
      </c>
      <c r="G18" s="4">
        <f t="shared" si="0"/>
        <v>970</v>
      </c>
      <c r="H18" s="219">
        <v>10</v>
      </c>
      <c r="I18" s="447">
        <f>VLOOKUP(C18,'SOR RATE'!A:D,4,0)</f>
        <v>97</v>
      </c>
      <c r="J18" s="4">
        <f t="shared" si="2"/>
        <v>970</v>
      </c>
      <c r="K18" s="460">
        <v>10</v>
      </c>
      <c r="L18" s="447">
        <f>VLOOKUP(C18,'SOR RATE'!A:D,4,0)</f>
        <v>97</v>
      </c>
      <c r="M18" s="447">
        <f t="shared" si="1"/>
        <v>970</v>
      </c>
    </row>
    <row r="19" spans="1:15" ht="21.75" customHeight="1">
      <c r="A19" s="19">
        <v>8</v>
      </c>
      <c r="B19" s="218" t="s">
        <v>496</v>
      </c>
      <c r="C19" s="19">
        <v>7130820009</v>
      </c>
      <c r="D19" s="3" t="s">
        <v>83</v>
      </c>
      <c r="E19" s="219">
        <v>30</v>
      </c>
      <c r="F19" s="4">
        <f>VLOOKUP(C19,'SOR RATE'!A:D,4,0)</f>
        <v>385</v>
      </c>
      <c r="G19" s="4">
        <f t="shared" si="0"/>
        <v>11550</v>
      </c>
      <c r="H19" s="219">
        <v>30</v>
      </c>
      <c r="I19" s="447">
        <f>VLOOKUP(C19,'SOR RATE'!A:D,4,0)</f>
        <v>385</v>
      </c>
      <c r="J19" s="4">
        <f t="shared" si="2"/>
        <v>11550</v>
      </c>
      <c r="K19" s="460">
        <v>30</v>
      </c>
      <c r="L19" s="447">
        <f>VLOOKUP(C19,'SOR RATE'!A:D,4,0)</f>
        <v>385</v>
      </c>
      <c r="M19" s="447">
        <f t="shared" si="1"/>
        <v>11550</v>
      </c>
      <c r="N19" s="144"/>
      <c r="O19" s="98"/>
    </row>
    <row r="20" spans="1:13" ht="34.5" customHeight="1">
      <c r="A20" s="19">
        <v>9</v>
      </c>
      <c r="B20" s="218" t="s">
        <v>85</v>
      </c>
      <c r="C20" s="19">
        <v>7130830063</v>
      </c>
      <c r="D20" s="3" t="s">
        <v>1721</v>
      </c>
      <c r="E20" s="219">
        <v>3100</v>
      </c>
      <c r="F20" s="4">
        <f>VLOOKUP(C20,'SOR RATE'!A:D,4,0)/1000</f>
        <v>54.885</v>
      </c>
      <c r="G20" s="4">
        <f>E20*F20</f>
        <v>170143.5</v>
      </c>
      <c r="H20" s="219">
        <v>3100</v>
      </c>
      <c r="I20" s="447">
        <f>VLOOKUP(C20,'SOR RATE'!A:D,4,0)/1000</f>
        <v>54.885</v>
      </c>
      <c r="J20" s="4">
        <f t="shared" si="2"/>
        <v>170143.5</v>
      </c>
      <c r="K20" s="460">
        <v>3100</v>
      </c>
      <c r="L20" s="447">
        <f>VLOOKUP(C20,'SOR RATE'!A:D,4,0)/1000</f>
        <v>54.885</v>
      </c>
      <c r="M20" s="447">
        <f t="shared" si="1"/>
        <v>170143.5</v>
      </c>
    </row>
    <row r="21" spans="1:13" ht="33.75" customHeight="1">
      <c r="A21" s="19">
        <v>10</v>
      </c>
      <c r="B21" s="218" t="s">
        <v>1437</v>
      </c>
      <c r="C21" s="19">
        <v>7130830051</v>
      </c>
      <c r="D21" s="3" t="s">
        <v>83</v>
      </c>
      <c r="E21" s="219">
        <v>6</v>
      </c>
      <c r="F21" s="4">
        <f>VLOOKUP(C21,'SOR RATE'!A:D,4,0)</f>
        <v>118</v>
      </c>
      <c r="G21" s="4">
        <f t="shared" si="0"/>
        <v>708</v>
      </c>
      <c r="H21" s="219">
        <v>6</v>
      </c>
      <c r="I21" s="447">
        <f>VLOOKUP(C21,'SOR RATE'!A:D,4,0)</f>
        <v>118</v>
      </c>
      <c r="J21" s="4">
        <f t="shared" si="2"/>
        <v>708</v>
      </c>
      <c r="K21" s="460">
        <v>6</v>
      </c>
      <c r="L21" s="447">
        <f>VLOOKUP(C21,'SOR RATE'!A:D,4,0)</f>
        <v>118</v>
      </c>
      <c r="M21" s="447">
        <f t="shared" si="1"/>
        <v>708</v>
      </c>
    </row>
    <row r="22" spans="1:13" ht="18.75" customHeight="1">
      <c r="A22" s="19">
        <v>11</v>
      </c>
      <c r="B22" s="218" t="s">
        <v>1723</v>
      </c>
      <c r="C22" s="19">
        <v>7130860033</v>
      </c>
      <c r="D22" s="3" t="s">
        <v>83</v>
      </c>
      <c r="E22" s="219">
        <v>3</v>
      </c>
      <c r="F22" s="4">
        <f>VLOOKUP(C22,'SOR RATE'!A:D,4,0)</f>
        <v>629</v>
      </c>
      <c r="G22" s="4">
        <f t="shared" si="0"/>
        <v>1887</v>
      </c>
      <c r="H22" s="219">
        <v>3</v>
      </c>
      <c r="I22" s="447">
        <f>VLOOKUP(C22,'SOR RATE'!A:D,4,0)</f>
        <v>629</v>
      </c>
      <c r="J22" s="4">
        <f t="shared" si="2"/>
        <v>1887</v>
      </c>
      <c r="K22" s="460">
        <v>3</v>
      </c>
      <c r="L22" s="447">
        <f>VLOOKUP(C22,'SOR RATE'!A:D,4,0)</f>
        <v>629</v>
      </c>
      <c r="M22" s="447">
        <f t="shared" si="1"/>
        <v>1887</v>
      </c>
    </row>
    <row r="23" spans="1:13" ht="18.75" customHeight="1">
      <c r="A23" s="1376">
        <v>12</v>
      </c>
      <c r="B23" s="218" t="s">
        <v>1245</v>
      </c>
      <c r="C23" s="448"/>
      <c r="D23" s="448"/>
      <c r="E23" s="449"/>
      <c r="F23" s="449"/>
      <c r="G23" s="449"/>
      <c r="H23" s="449"/>
      <c r="I23" s="449"/>
      <c r="J23" s="450"/>
      <c r="K23" s="447"/>
      <c r="L23" s="447"/>
      <c r="M23" s="447"/>
    </row>
    <row r="24" spans="1:13" ht="18.75" customHeight="1">
      <c r="A24" s="1377"/>
      <c r="B24" s="218" t="s">
        <v>2115</v>
      </c>
      <c r="C24" s="19">
        <v>7130810193</v>
      </c>
      <c r="D24" s="3" t="s">
        <v>83</v>
      </c>
      <c r="E24" s="219">
        <v>3</v>
      </c>
      <c r="F24" s="4">
        <f>VLOOKUP(C24,'SOR RATE'!A:D,4,0)</f>
        <v>225.04</v>
      </c>
      <c r="G24" s="4">
        <f t="shared" si="0"/>
        <v>675.12</v>
      </c>
      <c r="H24" s="219"/>
      <c r="I24" s="4"/>
      <c r="J24" s="4"/>
      <c r="K24" s="460">
        <v>3</v>
      </c>
      <c r="L24" s="447">
        <f>VLOOKUP(C24,'SOR RATE'!A:D,4,0)</f>
        <v>225.04</v>
      </c>
      <c r="M24" s="447">
        <f t="shared" si="1"/>
        <v>675.12</v>
      </c>
    </row>
    <row r="25" spans="1:13" ht="18.75" customHeight="1">
      <c r="A25" s="1377"/>
      <c r="B25" s="218" t="s">
        <v>1443</v>
      </c>
      <c r="C25" s="19">
        <v>7130810692</v>
      </c>
      <c r="D25" s="3" t="s">
        <v>83</v>
      </c>
      <c r="E25" s="4"/>
      <c r="F25" s="4"/>
      <c r="G25" s="4"/>
      <c r="H25" s="219">
        <v>3</v>
      </c>
      <c r="I25" s="447">
        <f>VLOOKUP(C25,'SOR RATE'!A:D,4,0)</f>
        <v>249.66</v>
      </c>
      <c r="J25" s="4">
        <f>I25*H25</f>
        <v>748.98</v>
      </c>
      <c r="K25" s="447"/>
      <c r="L25" s="447"/>
      <c r="M25" s="447"/>
    </row>
    <row r="26" spans="1:13" ht="21.75" customHeight="1">
      <c r="A26" s="19">
        <v>13</v>
      </c>
      <c r="B26" s="218" t="s">
        <v>699</v>
      </c>
      <c r="C26" s="19">
        <v>7130860076</v>
      </c>
      <c r="D26" s="3" t="s">
        <v>1576</v>
      </c>
      <c r="E26" s="796">
        <v>25.5</v>
      </c>
      <c r="F26" s="4">
        <f>VLOOKUP(C26,'SOR RATE'!A:D,4,0)/1000</f>
        <v>58.65</v>
      </c>
      <c r="G26" s="4">
        <f>F26*E26</f>
        <v>1495.575</v>
      </c>
      <c r="H26" s="796">
        <v>25.5</v>
      </c>
      <c r="I26" s="447">
        <f>VLOOKUP(C26,'SOR RATE'!A:D,4,0)/1000</f>
        <v>58.65</v>
      </c>
      <c r="J26" s="4">
        <f>I26*H26</f>
        <v>1495.575</v>
      </c>
      <c r="K26" s="834">
        <v>25.5</v>
      </c>
      <c r="L26" s="447">
        <f>VLOOKUP(C26,'SOR RATE'!A:D,4,0)/1000</f>
        <v>58.65</v>
      </c>
      <c r="M26" s="447">
        <f t="shared" si="1"/>
        <v>1495.575</v>
      </c>
    </row>
    <row r="27" spans="1:14" ht="65.25" customHeight="1">
      <c r="A27" s="1376">
        <v>14</v>
      </c>
      <c r="B27" s="218" t="s">
        <v>1866</v>
      </c>
      <c r="C27" s="19"/>
      <c r="D27" s="3" t="s">
        <v>1571</v>
      </c>
      <c r="E27" s="796">
        <f>(0.05*10)+(5*0.3)</f>
        <v>2</v>
      </c>
      <c r="F27" s="4"/>
      <c r="G27" s="4"/>
      <c r="H27" s="796">
        <f>(0.65*10)+(5*0.3)</f>
        <v>8</v>
      </c>
      <c r="I27" s="4"/>
      <c r="J27" s="835"/>
      <c r="K27" s="796">
        <f>(0.55*10)+(5*0.3)</f>
        <v>7</v>
      </c>
      <c r="L27" s="447"/>
      <c r="M27" s="447"/>
      <c r="N27" s="589" t="s">
        <v>194</v>
      </c>
    </row>
    <row r="28" spans="1:15" ht="19.5" customHeight="1">
      <c r="A28" s="1377"/>
      <c r="B28" s="218" t="s">
        <v>2113</v>
      </c>
      <c r="C28" s="19">
        <v>7130200401</v>
      </c>
      <c r="D28" s="3" t="s">
        <v>1576</v>
      </c>
      <c r="E28" s="219">
        <f>0.5*208</f>
        <v>104</v>
      </c>
      <c r="F28" s="4">
        <f>VLOOKUP(C28,'SOR RATE'!A:D,4,0)/50</f>
        <v>4.9</v>
      </c>
      <c r="G28" s="4">
        <f aca="true" t="shared" si="3" ref="G28:G34">F28*E28</f>
        <v>509.6</v>
      </c>
      <c r="H28" s="219">
        <f>6.5*208</f>
        <v>1352</v>
      </c>
      <c r="I28" s="447">
        <f>VLOOKUP(C28,'SOR RATE'!A:D,4,0)/50</f>
        <v>4.9</v>
      </c>
      <c r="J28" s="4">
        <f aca="true" t="shared" si="4" ref="J28:J34">I28*H28</f>
        <v>6624.8</v>
      </c>
      <c r="K28" s="219">
        <f>5.5*208</f>
        <v>1144</v>
      </c>
      <c r="L28" s="447">
        <f>VLOOKUP(C28,'SOR RATE'!A:D,4,0)/50</f>
        <v>4.9</v>
      </c>
      <c r="M28" s="447">
        <f t="shared" si="1"/>
        <v>5605.6</v>
      </c>
      <c r="N28" s="563" t="s">
        <v>2132</v>
      </c>
      <c r="O28" s="189"/>
    </row>
    <row r="29" spans="1:13" ht="19.5" customHeight="1">
      <c r="A29" s="1378"/>
      <c r="B29" s="218" t="s">
        <v>300</v>
      </c>
      <c r="C29" s="19">
        <v>7130200401</v>
      </c>
      <c r="D29" s="3" t="s">
        <v>1576</v>
      </c>
      <c r="E29" s="219">
        <f>1.5*208</f>
        <v>312</v>
      </c>
      <c r="F29" s="4">
        <f>VLOOKUP(C29,'SOR RATE'!A:D,4,0)/50</f>
        <v>4.9</v>
      </c>
      <c r="G29" s="4">
        <f t="shared" si="3"/>
        <v>1528.8000000000002</v>
      </c>
      <c r="H29" s="219">
        <f>1.5*208</f>
        <v>312</v>
      </c>
      <c r="I29" s="447">
        <f>VLOOKUP(C29,'SOR RATE'!A:D,4,0)/50</f>
        <v>4.9</v>
      </c>
      <c r="J29" s="4">
        <f t="shared" si="4"/>
        <v>1528.8000000000002</v>
      </c>
      <c r="K29" s="219">
        <f>1.5*208</f>
        <v>312</v>
      </c>
      <c r="L29" s="447">
        <f>VLOOKUP(C29,'SOR RATE'!A:D,4,0)/50</f>
        <v>4.9</v>
      </c>
      <c r="M29" s="447">
        <f t="shared" si="1"/>
        <v>1528.8000000000002</v>
      </c>
    </row>
    <row r="30" spans="1:13" ht="18.75" customHeight="1">
      <c r="A30" s="19">
        <v>15</v>
      </c>
      <c r="B30" s="218" t="s">
        <v>1572</v>
      </c>
      <c r="C30" s="19">
        <v>7130211158</v>
      </c>
      <c r="D30" s="3" t="s">
        <v>1573</v>
      </c>
      <c r="E30" s="796">
        <v>1.4</v>
      </c>
      <c r="F30" s="4">
        <f>VLOOKUP(C30,'SOR RATE'!A:D,4,0)</f>
        <v>133</v>
      </c>
      <c r="G30" s="4">
        <f t="shared" si="3"/>
        <v>186.2</v>
      </c>
      <c r="H30" s="219">
        <v>6</v>
      </c>
      <c r="I30" s="447">
        <f>VLOOKUP(C30,'SOR RATE'!A:D,4,0)</f>
        <v>133</v>
      </c>
      <c r="J30" s="4">
        <f t="shared" si="4"/>
        <v>798</v>
      </c>
      <c r="K30" s="834">
        <v>1.4</v>
      </c>
      <c r="L30" s="447">
        <f>VLOOKUP(C30,'SOR RATE'!A:D,4,0)</f>
        <v>133</v>
      </c>
      <c r="M30" s="447">
        <f t="shared" si="1"/>
        <v>186.2</v>
      </c>
    </row>
    <row r="31" spans="1:13" ht="18.75" customHeight="1">
      <c r="A31" s="19">
        <v>16</v>
      </c>
      <c r="B31" s="218" t="s">
        <v>1574</v>
      </c>
      <c r="C31" s="19">
        <v>7130210809</v>
      </c>
      <c r="D31" s="3" t="s">
        <v>1573</v>
      </c>
      <c r="E31" s="796">
        <v>1.5</v>
      </c>
      <c r="F31" s="4">
        <f>VLOOKUP(C31,'SOR RATE'!A:D,4,0)</f>
        <v>297</v>
      </c>
      <c r="G31" s="4">
        <f t="shared" si="3"/>
        <v>445.5</v>
      </c>
      <c r="H31" s="219">
        <v>6</v>
      </c>
      <c r="I31" s="447">
        <f>VLOOKUP(C31,'SOR RATE'!A:D,4,0)</f>
        <v>297</v>
      </c>
      <c r="J31" s="4">
        <f t="shared" si="4"/>
        <v>1782</v>
      </c>
      <c r="K31" s="834">
        <v>1.5</v>
      </c>
      <c r="L31" s="447">
        <f>VLOOKUP(C31,'SOR RATE'!A:D,4,0)</f>
        <v>297</v>
      </c>
      <c r="M31" s="447">
        <f t="shared" si="1"/>
        <v>445.5</v>
      </c>
    </row>
    <row r="32" spans="1:17" ht="18.75" customHeight="1">
      <c r="A32" s="19">
        <v>17</v>
      </c>
      <c r="B32" s="218" t="s">
        <v>1438</v>
      </c>
      <c r="C32" s="19">
        <v>7130610206</v>
      </c>
      <c r="D32" s="3" t="s">
        <v>1576</v>
      </c>
      <c r="E32" s="219">
        <v>20</v>
      </c>
      <c r="F32" s="4">
        <f>VLOOKUP(C32,'SOR RATE'!A:D,4,0)/1000</f>
        <v>63.963</v>
      </c>
      <c r="G32" s="4">
        <f t="shared" si="3"/>
        <v>1279.26</v>
      </c>
      <c r="H32" s="219">
        <v>20</v>
      </c>
      <c r="I32" s="447">
        <f>VLOOKUP(C32,'SOR RATE'!A:D,4,0)/1000</f>
        <v>63.963</v>
      </c>
      <c r="J32" s="4">
        <f t="shared" si="4"/>
        <v>1279.26</v>
      </c>
      <c r="K32" s="460">
        <v>20</v>
      </c>
      <c r="L32" s="447">
        <f>VLOOKUP(C32,'SOR RATE'!A:D,4,0)/1000</f>
        <v>63.963</v>
      </c>
      <c r="M32" s="447">
        <f t="shared" si="1"/>
        <v>1279.26</v>
      </c>
      <c r="N32" s="520" t="s">
        <v>2133</v>
      </c>
      <c r="O32" s="144"/>
      <c r="P32" s="144"/>
      <c r="Q32" s="144"/>
    </row>
    <row r="33" spans="1:13" ht="18.75" customHeight="1">
      <c r="A33" s="19">
        <v>18</v>
      </c>
      <c r="B33" s="218" t="s">
        <v>1575</v>
      </c>
      <c r="C33" s="19">
        <v>7130880041</v>
      </c>
      <c r="D33" s="3" t="s">
        <v>83</v>
      </c>
      <c r="E33" s="219">
        <v>10</v>
      </c>
      <c r="F33" s="4">
        <f>VLOOKUP(C33,'SOR RATE'!A:D,4,0)</f>
        <v>62</v>
      </c>
      <c r="G33" s="4">
        <f t="shared" si="3"/>
        <v>620</v>
      </c>
      <c r="H33" s="219">
        <v>10</v>
      </c>
      <c r="I33" s="447">
        <f>VLOOKUP(C33,'SOR RATE'!A:D,4,0)</f>
        <v>62</v>
      </c>
      <c r="J33" s="4">
        <f t="shared" si="4"/>
        <v>620</v>
      </c>
      <c r="K33" s="460">
        <v>10</v>
      </c>
      <c r="L33" s="447">
        <f>VLOOKUP(C33,'SOR RATE'!A:D,4,0)</f>
        <v>62</v>
      </c>
      <c r="M33" s="447">
        <f t="shared" si="1"/>
        <v>620</v>
      </c>
    </row>
    <row r="34" spans="1:13" ht="18.75" customHeight="1">
      <c r="A34" s="19">
        <v>19</v>
      </c>
      <c r="B34" s="218" t="s">
        <v>1711</v>
      </c>
      <c r="C34" s="19">
        <v>7130830006</v>
      </c>
      <c r="D34" s="3" t="s">
        <v>1576</v>
      </c>
      <c r="E34" s="796">
        <v>3.5</v>
      </c>
      <c r="F34" s="4">
        <f>VLOOKUP(C34,'SOR RATE'!A:D,4,0)</f>
        <v>130</v>
      </c>
      <c r="G34" s="4">
        <f t="shared" si="3"/>
        <v>455</v>
      </c>
      <c r="H34" s="796">
        <v>3.5</v>
      </c>
      <c r="I34" s="447">
        <f>VLOOKUP(C34,'SOR RATE'!A:D,4,0)</f>
        <v>130</v>
      </c>
      <c r="J34" s="4">
        <f t="shared" si="4"/>
        <v>455</v>
      </c>
      <c r="K34" s="834">
        <v>3.5</v>
      </c>
      <c r="L34" s="447">
        <f>VLOOKUP(C34,'SOR RATE'!A:D,4,0)</f>
        <v>130</v>
      </c>
      <c r="M34" s="447">
        <f t="shared" si="1"/>
        <v>455</v>
      </c>
    </row>
    <row r="35" spans="1:13" ht="15.75">
      <c r="A35" s="1376">
        <v>20</v>
      </c>
      <c r="B35" s="801" t="s">
        <v>1577</v>
      </c>
      <c r="C35" s="19"/>
      <c r="D35" s="3" t="s">
        <v>1576</v>
      </c>
      <c r="E35" s="219">
        <v>18</v>
      </c>
      <c r="F35" s="4"/>
      <c r="G35" s="4"/>
      <c r="H35" s="219">
        <v>18</v>
      </c>
      <c r="I35" s="4"/>
      <c r="J35" s="4"/>
      <c r="K35" s="460">
        <v>18</v>
      </c>
      <c r="L35" s="447"/>
      <c r="M35" s="447"/>
    </row>
    <row r="36" spans="1:13" ht="16.5" customHeight="1">
      <c r="A36" s="1429"/>
      <c r="B36" s="218" t="s">
        <v>56</v>
      </c>
      <c r="C36" s="19">
        <v>7130620609</v>
      </c>
      <c r="D36" s="3" t="s">
        <v>1576</v>
      </c>
      <c r="E36" s="4"/>
      <c r="F36" s="4">
        <f>VLOOKUP(C36,'SOR RATE'!A:D,4,0)</f>
        <v>63</v>
      </c>
      <c r="G36" s="4"/>
      <c r="H36" s="796">
        <v>0.5</v>
      </c>
      <c r="I36" s="447">
        <f>VLOOKUP(C36,'SOR RATE'!A:D,4,0)</f>
        <v>63</v>
      </c>
      <c r="J36" s="4">
        <f>I36*H36</f>
        <v>31.5</v>
      </c>
      <c r="K36" s="447"/>
      <c r="L36" s="447">
        <f>VLOOKUP(C36,'SOR RATE'!A:D,4,0)</f>
        <v>63</v>
      </c>
      <c r="M36" s="447"/>
    </row>
    <row r="37" spans="1:13" ht="16.5" customHeight="1">
      <c r="A37" s="1429"/>
      <c r="B37" s="218" t="s">
        <v>2106</v>
      </c>
      <c r="C37" s="19">
        <v>7130620614</v>
      </c>
      <c r="D37" s="3" t="s">
        <v>1576</v>
      </c>
      <c r="E37" s="4"/>
      <c r="F37" s="4">
        <f>VLOOKUP(C37,'SOR RATE'!A:D,4,0)</f>
        <v>62</v>
      </c>
      <c r="G37" s="4"/>
      <c r="H37" s="796">
        <v>7.5</v>
      </c>
      <c r="I37" s="447">
        <f>VLOOKUP(C37,'SOR RATE'!A:D,4,0)</f>
        <v>62</v>
      </c>
      <c r="J37" s="4">
        <f>I37*H37</f>
        <v>465</v>
      </c>
      <c r="K37" s="447"/>
      <c r="L37" s="447">
        <f>VLOOKUP(C37,'SOR RATE'!A:D,4,0)</f>
        <v>62</v>
      </c>
      <c r="M37" s="447"/>
    </row>
    <row r="38" spans="1:13" ht="18" customHeight="1">
      <c r="A38" s="1429"/>
      <c r="B38" s="218" t="s">
        <v>2107</v>
      </c>
      <c r="C38" s="19">
        <v>7130620619</v>
      </c>
      <c r="D38" s="3" t="s">
        <v>1576</v>
      </c>
      <c r="E38" s="796">
        <v>3.5</v>
      </c>
      <c r="F38" s="4">
        <f>VLOOKUP(C38,'SOR RATE'!A:D,4,0)</f>
        <v>62</v>
      </c>
      <c r="G38" s="4">
        <f>F38*E38</f>
        <v>217</v>
      </c>
      <c r="H38" s="4"/>
      <c r="I38" s="447">
        <f>VLOOKUP(C38,'SOR RATE'!A:D,4,0)</f>
        <v>62</v>
      </c>
      <c r="J38" s="4"/>
      <c r="K38" s="834">
        <v>3.5</v>
      </c>
      <c r="L38" s="447">
        <f>VLOOKUP(C38,'SOR RATE'!A:D,4,0)</f>
        <v>62</v>
      </c>
      <c r="M38" s="447">
        <f t="shared" si="1"/>
        <v>217</v>
      </c>
    </row>
    <row r="39" spans="1:13" ht="16.5" customHeight="1">
      <c r="A39" s="1429"/>
      <c r="B39" s="218" t="s">
        <v>2108</v>
      </c>
      <c r="C39" s="19">
        <v>7130620625</v>
      </c>
      <c r="D39" s="3" t="s">
        <v>1576</v>
      </c>
      <c r="E39" s="4"/>
      <c r="F39" s="4">
        <f>VLOOKUP(C39,'SOR RATE'!A:D,4,0)</f>
        <v>61</v>
      </c>
      <c r="G39" s="4"/>
      <c r="H39" s="219">
        <v>10</v>
      </c>
      <c r="I39" s="447">
        <f>VLOOKUP(C39,'SOR RATE'!A:D,4,0)</f>
        <v>61</v>
      </c>
      <c r="J39" s="4">
        <f>I39*H39</f>
        <v>610</v>
      </c>
      <c r="K39" s="834"/>
      <c r="L39" s="447">
        <f>VLOOKUP(C39,'SOR RATE'!A:D,4,0)</f>
        <v>61</v>
      </c>
      <c r="M39" s="447"/>
    </row>
    <row r="40" spans="1:13" ht="18" customHeight="1">
      <c r="A40" s="1430"/>
      <c r="B40" s="218" t="s">
        <v>2109</v>
      </c>
      <c r="C40" s="19">
        <v>7130620627</v>
      </c>
      <c r="D40" s="3" t="s">
        <v>1576</v>
      </c>
      <c r="E40" s="796">
        <v>14.5</v>
      </c>
      <c r="F40" s="4">
        <f>VLOOKUP(C40,'SOR RATE'!A:D,4,0)</f>
        <v>61</v>
      </c>
      <c r="G40" s="4">
        <f>F40*E40</f>
        <v>884.5</v>
      </c>
      <c r="H40" s="4"/>
      <c r="I40" s="447">
        <f>VLOOKUP(C40,'SOR RATE'!A:D,4,0)</f>
        <v>61</v>
      </c>
      <c r="J40" s="790"/>
      <c r="K40" s="834">
        <v>14.5</v>
      </c>
      <c r="L40" s="447">
        <f>VLOOKUP(C40,'SOR RATE'!A:D,4,0)</f>
        <v>61</v>
      </c>
      <c r="M40" s="447">
        <f t="shared" si="1"/>
        <v>884.5</v>
      </c>
    </row>
    <row r="41" spans="1:13" ht="16.5" customHeight="1">
      <c r="A41" s="1376">
        <v>21</v>
      </c>
      <c r="B41" s="801" t="s">
        <v>1724</v>
      </c>
      <c r="C41" s="19"/>
      <c r="D41" s="3"/>
      <c r="E41" s="3"/>
      <c r="F41" s="6">
        <f>G42+G43+G44+G45+G46+G47+G48+G49+G50</f>
        <v>10030.780999999999</v>
      </c>
      <c r="G41" s="836"/>
      <c r="H41" s="836"/>
      <c r="I41" s="6">
        <f>J42+J43+J44+J45+J46+J47+J48+J49+J50</f>
        <v>10030.780999999999</v>
      </c>
      <c r="J41" s="837"/>
      <c r="K41" s="838"/>
      <c r="L41" s="6">
        <f>M42+M43+M44+M45+M46+M47+M48+M49+M50</f>
        <v>10030.780999999999</v>
      </c>
      <c r="M41" s="447"/>
    </row>
    <row r="42" spans="1:13" ht="15.75" customHeight="1">
      <c r="A42" s="1429"/>
      <c r="B42" s="624" t="s">
        <v>1254</v>
      </c>
      <c r="C42" s="19">
        <v>7130870045</v>
      </c>
      <c r="D42" s="3" t="s">
        <v>1576</v>
      </c>
      <c r="E42" s="19">
        <v>49</v>
      </c>
      <c r="F42" s="4">
        <f>VLOOKUP(C42,'SOR RATE'!A:D,4,0)/1000</f>
        <v>52.969</v>
      </c>
      <c r="G42" s="4">
        <f aca="true" t="shared" si="5" ref="G42:G50">F42*E42</f>
        <v>2595.481</v>
      </c>
      <c r="H42" s="19">
        <v>49</v>
      </c>
      <c r="I42" s="447">
        <f>VLOOKUP(C42,'SOR RATE'!A:D,4,0)/1000</f>
        <v>52.969</v>
      </c>
      <c r="J42" s="4">
        <f>I42*H42</f>
        <v>2595.481</v>
      </c>
      <c r="K42" s="19">
        <v>49</v>
      </c>
      <c r="L42" s="447">
        <f>VLOOKUP(C42,'SOR RATE'!A:D,4,0)/1000</f>
        <v>52.969</v>
      </c>
      <c r="M42" s="447">
        <f t="shared" si="1"/>
        <v>2595.481</v>
      </c>
    </row>
    <row r="43" spans="1:13" ht="15.75" customHeight="1">
      <c r="A43" s="1429"/>
      <c r="B43" s="624" t="s">
        <v>1255</v>
      </c>
      <c r="C43" s="19">
        <v>7130870043</v>
      </c>
      <c r="D43" s="3" t="s">
        <v>1576</v>
      </c>
      <c r="E43" s="19">
        <v>20</v>
      </c>
      <c r="F43" s="4">
        <f>VLOOKUP(C43,'SOR RATE'!A:D,4,0)/1000</f>
        <v>52.969</v>
      </c>
      <c r="G43" s="4">
        <f t="shared" si="5"/>
        <v>1059.38</v>
      </c>
      <c r="H43" s="19">
        <v>20</v>
      </c>
      <c r="I43" s="447">
        <f>VLOOKUP(C43,'SOR RATE'!A:D,4,0)/1000</f>
        <v>52.969</v>
      </c>
      <c r="J43" s="4">
        <f aca="true" t="shared" si="6" ref="J43:J50">I43*H43</f>
        <v>1059.38</v>
      </c>
      <c r="K43" s="19">
        <v>20</v>
      </c>
      <c r="L43" s="447">
        <f>VLOOKUP(C43,'SOR RATE'!A:D,4,0)/1000</f>
        <v>52.969</v>
      </c>
      <c r="M43" s="447">
        <f t="shared" si="1"/>
        <v>1059.38</v>
      </c>
    </row>
    <row r="44" spans="1:13" ht="17.25" customHeight="1">
      <c r="A44" s="1429"/>
      <c r="B44" s="624" t="s">
        <v>2282</v>
      </c>
      <c r="C44" s="19">
        <v>7130897759</v>
      </c>
      <c r="D44" s="3" t="s">
        <v>83</v>
      </c>
      <c r="E44" s="19">
        <v>1</v>
      </c>
      <c r="F44" s="4">
        <f>VLOOKUP(C44,'SOR RATE'!A:D,4,0)</f>
        <v>2739.85</v>
      </c>
      <c r="G44" s="4">
        <f>F44*E44</f>
        <v>2739.85</v>
      </c>
      <c r="H44" s="19">
        <v>1</v>
      </c>
      <c r="I44" s="447">
        <f>VLOOKUP(C44,'SOR RATE'!A:D,4,0)</f>
        <v>2739.85</v>
      </c>
      <c r="J44" s="4">
        <f t="shared" si="6"/>
        <v>2739.85</v>
      </c>
      <c r="K44" s="19">
        <v>1</v>
      </c>
      <c r="L44" s="447">
        <f>VLOOKUP(C44,'SOR RATE'!A:D,4,0)</f>
        <v>2739.85</v>
      </c>
      <c r="M44" s="447">
        <f t="shared" si="1"/>
        <v>2739.85</v>
      </c>
    </row>
    <row r="45" spans="1:13" ht="17.25" customHeight="1">
      <c r="A45" s="1429"/>
      <c r="B45" s="624" t="s">
        <v>1256</v>
      </c>
      <c r="C45" s="19">
        <v>7130810692</v>
      </c>
      <c r="D45" s="3" t="s">
        <v>83</v>
      </c>
      <c r="E45" s="19">
        <v>3</v>
      </c>
      <c r="F45" s="4">
        <f>VLOOKUP(C45,'SOR RATE'!A:D,4,0)</f>
        <v>249.66</v>
      </c>
      <c r="G45" s="4">
        <f t="shared" si="5"/>
        <v>748.98</v>
      </c>
      <c r="H45" s="19">
        <v>3</v>
      </c>
      <c r="I45" s="447">
        <f>VLOOKUP(C45,'SOR RATE'!A:D,4,0)</f>
        <v>249.66</v>
      </c>
      <c r="J45" s="4">
        <f t="shared" si="6"/>
        <v>748.98</v>
      </c>
      <c r="K45" s="19">
        <v>3</v>
      </c>
      <c r="L45" s="447">
        <f>VLOOKUP(C45,'SOR RATE'!A:D,4,0)</f>
        <v>249.66</v>
      </c>
      <c r="M45" s="447">
        <f t="shared" si="1"/>
        <v>748.98</v>
      </c>
    </row>
    <row r="46" spans="1:13" ht="18" customHeight="1">
      <c r="A46" s="1429"/>
      <c r="B46" s="624" t="s">
        <v>1257</v>
      </c>
      <c r="C46" s="19">
        <v>7130620625</v>
      </c>
      <c r="D46" s="3" t="s">
        <v>87</v>
      </c>
      <c r="E46" s="796">
        <v>1.2</v>
      </c>
      <c r="F46" s="4">
        <f>VLOOKUP(C46,'SOR RATE'!A:D,4,0)</f>
        <v>61</v>
      </c>
      <c r="G46" s="4">
        <f t="shared" si="5"/>
        <v>73.2</v>
      </c>
      <c r="H46" s="796">
        <v>1.2</v>
      </c>
      <c r="I46" s="447">
        <f>VLOOKUP(C46,'SOR RATE'!A:D,4,0)</f>
        <v>61</v>
      </c>
      <c r="J46" s="4">
        <f t="shared" si="6"/>
        <v>73.2</v>
      </c>
      <c r="K46" s="796">
        <v>1.2</v>
      </c>
      <c r="L46" s="447">
        <f>VLOOKUP(C46,'SOR RATE'!A:D,4,0)</f>
        <v>61</v>
      </c>
      <c r="M46" s="447">
        <f t="shared" si="1"/>
        <v>73.2</v>
      </c>
    </row>
    <row r="47" spans="1:13" ht="18" customHeight="1">
      <c r="A47" s="1429"/>
      <c r="B47" s="624" t="s">
        <v>458</v>
      </c>
      <c r="C47" s="19">
        <v>7130620013</v>
      </c>
      <c r="D47" s="3" t="s">
        <v>83</v>
      </c>
      <c r="E47" s="19">
        <v>4</v>
      </c>
      <c r="F47" s="4">
        <f>VLOOKUP(C47,'SOR RATE'!A:D,4,0)</f>
        <v>116.46</v>
      </c>
      <c r="G47" s="4">
        <f t="shared" si="5"/>
        <v>465.84</v>
      </c>
      <c r="H47" s="19">
        <v>4</v>
      </c>
      <c r="I47" s="447">
        <f>VLOOKUP(C47,'SOR RATE'!A:D,4,0)</f>
        <v>116.46</v>
      </c>
      <c r="J47" s="4">
        <f t="shared" si="6"/>
        <v>465.84</v>
      </c>
      <c r="K47" s="19">
        <v>4</v>
      </c>
      <c r="L47" s="447">
        <f>VLOOKUP(C47,'SOR RATE'!A:D,4,0)</f>
        <v>116.46</v>
      </c>
      <c r="M47" s="447">
        <f t="shared" si="1"/>
        <v>465.84</v>
      </c>
    </row>
    <row r="48" spans="1:13" ht="17.25" customHeight="1">
      <c r="A48" s="1429"/>
      <c r="B48" s="624" t="s">
        <v>1248</v>
      </c>
      <c r="C48" s="19">
        <v>7130860033</v>
      </c>
      <c r="D48" s="3" t="s">
        <v>83</v>
      </c>
      <c r="E48" s="19">
        <v>2</v>
      </c>
      <c r="F48" s="4">
        <f>VLOOKUP(C48,'SOR RATE'!A:D,4,0)</f>
        <v>629</v>
      </c>
      <c r="G48" s="4">
        <f t="shared" si="5"/>
        <v>1258</v>
      </c>
      <c r="H48" s="19">
        <v>2</v>
      </c>
      <c r="I48" s="447">
        <f>VLOOKUP(C48,'SOR RATE'!A:D,4,0)</f>
        <v>629</v>
      </c>
      <c r="J48" s="4">
        <f t="shared" si="6"/>
        <v>1258</v>
      </c>
      <c r="K48" s="19">
        <v>2</v>
      </c>
      <c r="L48" s="447">
        <f>VLOOKUP(C48,'SOR RATE'!A:D,4,0)</f>
        <v>629</v>
      </c>
      <c r="M48" s="447">
        <f t="shared" si="1"/>
        <v>1258</v>
      </c>
    </row>
    <row r="49" spans="1:13" ht="20.25" customHeight="1">
      <c r="A49" s="1429"/>
      <c r="B49" s="624" t="s">
        <v>2283</v>
      </c>
      <c r="C49" s="19">
        <v>7130860076</v>
      </c>
      <c r="D49" s="3" t="s">
        <v>1576</v>
      </c>
      <c r="E49" s="19">
        <v>17</v>
      </c>
      <c r="F49" s="4">
        <f>VLOOKUP(C49,'SOR RATE'!A:D,4,0)/1000</f>
        <v>58.65</v>
      </c>
      <c r="G49" s="4">
        <f t="shared" si="5"/>
        <v>997.05</v>
      </c>
      <c r="H49" s="19">
        <v>17</v>
      </c>
      <c r="I49" s="447">
        <f>VLOOKUP(C49,'SOR RATE'!A:D,4,0)/1000</f>
        <v>58.65</v>
      </c>
      <c r="J49" s="4">
        <f t="shared" si="6"/>
        <v>997.05</v>
      </c>
      <c r="K49" s="19">
        <v>17</v>
      </c>
      <c r="L49" s="447">
        <f>VLOOKUP(C49,'SOR RATE'!A:D,4,0)/1000</f>
        <v>58.65</v>
      </c>
      <c r="M49" s="447">
        <f t="shared" si="1"/>
        <v>997.05</v>
      </c>
    </row>
    <row r="50" spans="1:13" ht="18" customHeight="1">
      <c r="A50" s="1430"/>
      <c r="B50" s="624" t="s">
        <v>2110</v>
      </c>
      <c r="C50" s="19">
        <v>7130620619</v>
      </c>
      <c r="D50" s="3" t="s">
        <v>1576</v>
      </c>
      <c r="E50" s="19">
        <v>1.5</v>
      </c>
      <c r="F50" s="4">
        <f>VLOOKUP(C50,'SOR RATE'!A:D,4,0)</f>
        <v>62</v>
      </c>
      <c r="G50" s="4">
        <f t="shared" si="5"/>
        <v>93</v>
      </c>
      <c r="H50" s="19">
        <v>1.5</v>
      </c>
      <c r="I50" s="447">
        <f>VLOOKUP(C50,'SOR RATE'!A:D,4,0)</f>
        <v>62</v>
      </c>
      <c r="J50" s="4">
        <f t="shared" si="6"/>
        <v>93</v>
      </c>
      <c r="K50" s="19">
        <v>1.5</v>
      </c>
      <c r="L50" s="447">
        <f>VLOOKUP(C50,'SOR RATE'!A:D,4,0)</f>
        <v>62</v>
      </c>
      <c r="M50" s="447">
        <f t="shared" si="1"/>
        <v>93</v>
      </c>
    </row>
    <row r="51" spans="1:13" s="122" customFormat="1" ht="15.75">
      <c r="A51" s="116">
        <v>22</v>
      </c>
      <c r="B51" s="799" t="s">
        <v>1052</v>
      </c>
      <c r="C51" s="839"/>
      <c r="D51" s="839"/>
      <c r="E51" s="6"/>
      <c r="F51" s="6"/>
      <c r="G51" s="6">
        <f>SUM(G10:G50)</f>
        <v>258247.03600000005</v>
      </c>
      <c r="H51" s="19"/>
      <c r="I51" s="4"/>
      <c r="J51" s="6">
        <f>SUM(J10:J50)</f>
        <v>393814.821</v>
      </c>
      <c r="K51" s="6"/>
      <c r="L51" s="6"/>
      <c r="M51" s="6">
        <f>SUM(M10:M50)</f>
        <v>278563.036</v>
      </c>
    </row>
    <row r="52" spans="1:13" ht="18" customHeight="1">
      <c r="A52" s="19">
        <v>23</v>
      </c>
      <c r="B52" s="218" t="s">
        <v>1051</v>
      </c>
      <c r="C52" s="840"/>
      <c r="D52" s="840"/>
      <c r="E52" s="841"/>
      <c r="F52" s="623">
        <v>0.09</v>
      </c>
      <c r="G52" s="842">
        <f>G51*F52</f>
        <v>23242.233240000005</v>
      </c>
      <c r="H52" s="843"/>
      <c r="I52" s="842">
        <v>0.09</v>
      </c>
      <c r="J52" s="842">
        <f>J51*I52</f>
        <v>35443.33389</v>
      </c>
      <c r="K52" s="842"/>
      <c r="L52" s="842">
        <v>0.09</v>
      </c>
      <c r="M52" s="842">
        <f>M51*L52</f>
        <v>25070.67324</v>
      </c>
    </row>
    <row r="53" spans="1:13" ht="30.75" customHeight="1">
      <c r="A53" s="19">
        <v>24</v>
      </c>
      <c r="B53" s="218" t="s">
        <v>91</v>
      </c>
      <c r="C53" s="623"/>
      <c r="D53" s="3" t="s">
        <v>1571</v>
      </c>
      <c r="E53" s="796">
        <v>1.4</v>
      </c>
      <c r="F53" s="4">
        <f>1664*1.27*1.0891*1.086275*1.1112*1.0685*1.06217</f>
        <v>3153.010200829536</v>
      </c>
      <c r="G53" s="4">
        <f>F53*E53</f>
        <v>4414.21428116135</v>
      </c>
      <c r="H53" s="795">
        <v>8</v>
      </c>
      <c r="I53" s="4">
        <f>1664*1.27*1.0891*1.086275*1.1112*1.0685*1.06217</f>
        <v>3153.010200829536</v>
      </c>
      <c r="J53" s="451">
        <f>I53*H53</f>
        <v>25224.08160663629</v>
      </c>
      <c r="K53" s="219">
        <v>8</v>
      </c>
      <c r="L53" s="4">
        <f>1664*1.27*1.0891*1.086275*1.1112*1.0685*1.06217</f>
        <v>3153.010200829536</v>
      </c>
      <c r="M53" s="4">
        <f>K53*L53</f>
        <v>25224.08160663629</v>
      </c>
    </row>
    <row r="54" spans="1:15" ht="36" customHeight="1">
      <c r="A54" s="19">
        <v>25</v>
      </c>
      <c r="B54" s="218" t="s">
        <v>517</v>
      </c>
      <c r="C54" s="623"/>
      <c r="D54" s="3" t="s">
        <v>83</v>
      </c>
      <c r="E54" s="219">
        <v>10</v>
      </c>
      <c r="F54" s="4">
        <f>+'A-1'!F51</f>
        <v>273.2594915401317</v>
      </c>
      <c r="G54" s="4">
        <f>F54*E54</f>
        <v>2732.594915401317</v>
      </c>
      <c r="H54" s="795"/>
      <c r="I54" s="4"/>
      <c r="J54" s="451"/>
      <c r="K54" s="219"/>
      <c r="L54" s="4"/>
      <c r="M54" s="4"/>
      <c r="N54" s="522" t="s">
        <v>519</v>
      </c>
      <c r="O54" s="159"/>
    </row>
    <row r="55" spans="1:13" ht="33" customHeight="1">
      <c r="A55" s="19">
        <v>26</v>
      </c>
      <c r="B55" s="218" t="s">
        <v>89</v>
      </c>
      <c r="C55" s="623"/>
      <c r="D55" s="844"/>
      <c r="E55" s="4"/>
      <c r="F55" s="4"/>
      <c r="G55" s="4">
        <v>34563.93</v>
      </c>
      <c r="H55" s="4" t="s">
        <v>1570</v>
      </c>
      <c r="I55" s="845" t="s">
        <v>1570</v>
      </c>
      <c r="J55" s="845">
        <v>40221.38</v>
      </c>
      <c r="K55" s="459"/>
      <c r="L55" s="459"/>
      <c r="M55" s="845">
        <v>37368.12</v>
      </c>
    </row>
    <row r="56" spans="1:13" ht="66" customHeight="1">
      <c r="A56" s="19">
        <v>27</v>
      </c>
      <c r="B56" s="218" t="s">
        <v>128</v>
      </c>
      <c r="C56" s="623"/>
      <c r="D56" s="5"/>
      <c r="E56" s="4"/>
      <c r="F56" s="4"/>
      <c r="G56" s="4">
        <f>1.1*1.1*7212*1.2*1.1*1.1797*1.1402*0.9368*0.87</f>
        <v>12627.97665465215</v>
      </c>
      <c r="H56" s="4"/>
      <c r="I56" s="4"/>
      <c r="J56" s="4">
        <f>+G56</f>
        <v>12627.97665465215</v>
      </c>
      <c r="K56" s="459"/>
      <c r="L56" s="459"/>
      <c r="M56" s="4">
        <f>1.1*1.1*7212*1.2*1.1*1.1797*1.1402*0.9368*0.87</f>
        <v>12627.97665465215</v>
      </c>
    </row>
    <row r="57" spans="1:13" ht="18.75" customHeight="1">
      <c r="A57" s="116">
        <v>28</v>
      </c>
      <c r="B57" s="799" t="s">
        <v>1053</v>
      </c>
      <c r="C57" s="623"/>
      <c r="D57" s="5"/>
      <c r="E57" s="4"/>
      <c r="F57" s="4"/>
      <c r="G57" s="6">
        <f>G51+G52+G53+G54+G55+G56</f>
        <v>335827.9850912149</v>
      </c>
      <c r="H57" s="6"/>
      <c r="I57" s="6"/>
      <c r="J57" s="6">
        <f>J51+J52+J53+J54+J55+J56</f>
        <v>507331.59315128846</v>
      </c>
      <c r="K57" s="6"/>
      <c r="L57" s="6"/>
      <c r="M57" s="6">
        <f>M51+M52+M53+M54+M55+M56</f>
        <v>378853.88750128844</v>
      </c>
    </row>
    <row r="58" spans="1:13" ht="50.25" customHeight="1">
      <c r="A58" s="19">
        <v>29</v>
      </c>
      <c r="B58" s="218" t="s">
        <v>1054</v>
      </c>
      <c r="C58" s="623"/>
      <c r="D58" s="5"/>
      <c r="E58" s="4"/>
      <c r="F58" s="4">
        <v>0.11</v>
      </c>
      <c r="G58" s="4">
        <f>G51*F58</f>
        <v>28407.173960000007</v>
      </c>
      <c r="H58" s="4"/>
      <c r="I58" s="4">
        <v>0.11</v>
      </c>
      <c r="J58" s="4">
        <f>J51*I58</f>
        <v>43319.63031</v>
      </c>
      <c r="K58" s="4"/>
      <c r="L58" s="4">
        <v>0.11</v>
      </c>
      <c r="M58" s="4">
        <f>M51*L58</f>
        <v>30641.933960000002</v>
      </c>
    </row>
    <row r="59" spans="1:13" ht="33" customHeight="1">
      <c r="A59" s="19">
        <v>30</v>
      </c>
      <c r="B59" s="218" t="s">
        <v>1249</v>
      </c>
      <c r="C59" s="623"/>
      <c r="D59" s="5"/>
      <c r="E59" s="4"/>
      <c r="F59" s="4"/>
      <c r="G59" s="4">
        <f>G57+G58</f>
        <v>364235.15905121487</v>
      </c>
      <c r="H59" s="6"/>
      <c r="I59" s="6"/>
      <c r="J59" s="4">
        <f>J57+J58</f>
        <v>550651.2234612885</v>
      </c>
      <c r="K59" s="4"/>
      <c r="L59" s="4"/>
      <c r="M59" s="4">
        <f>M57+M58</f>
        <v>409495.82146128843</v>
      </c>
    </row>
    <row r="60" spans="1:13" s="62" customFormat="1" ht="36.75" customHeight="1">
      <c r="A60" s="116">
        <v>31</v>
      </c>
      <c r="B60" s="801" t="s">
        <v>1250</v>
      </c>
      <c r="C60" s="839"/>
      <c r="D60" s="846"/>
      <c r="E60" s="6"/>
      <c r="F60" s="6"/>
      <c r="G60" s="6">
        <f>ROUND(G59,0)</f>
        <v>364235</v>
      </c>
      <c r="H60" s="4"/>
      <c r="I60" s="4"/>
      <c r="J60" s="6">
        <f>ROUND(J59,0)</f>
        <v>550651</v>
      </c>
      <c r="K60" s="6"/>
      <c r="L60" s="6"/>
      <c r="M60" s="6">
        <f>ROUND(M59,0)</f>
        <v>409496</v>
      </c>
    </row>
    <row r="61" spans="1:10" ht="15.75">
      <c r="A61" s="8"/>
      <c r="B61" s="7"/>
      <c r="C61" s="75"/>
      <c r="D61" s="8"/>
      <c r="E61" s="9"/>
      <c r="F61" s="9"/>
      <c r="G61" s="10"/>
      <c r="H61" s="53"/>
      <c r="I61" s="53"/>
      <c r="J61" s="53"/>
    </row>
    <row r="62" spans="1:10" ht="15" customHeight="1">
      <c r="A62" s="1428" t="s">
        <v>129</v>
      </c>
      <c r="B62" s="1428"/>
      <c r="C62" s="1428"/>
      <c r="D62" s="1428"/>
      <c r="E62" s="1428"/>
      <c r="F62" s="1428"/>
      <c r="G62" s="1428"/>
      <c r="H62" s="54"/>
      <c r="I62" s="54"/>
      <c r="J62" s="54"/>
    </row>
    <row r="63" spans="1:10" ht="19.5" customHeight="1">
      <c r="A63" s="5">
        <v>1</v>
      </c>
      <c r="B63" s="1427" t="s">
        <v>1442</v>
      </c>
      <c r="C63" s="1427"/>
      <c r="D63" s="1427"/>
      <c r="E63" s="1427"/>
      <c r="F63" s="1427"/>
      <c r="G63" s="1427"/>
      <c r="H63" s="53"/>
      <c r="I63" s="53"/>
      <c r="J63" s="53"/>
    </row>
    <row r="64" spans="1:10" ht="17.25" customHeight="1">
      <c r="A64" s="5">
        <v>2</v>
      </c>
      <c r="B64" s="1427" t="s">
        <v>130</v>
      </c>
      <c r="C64" s="1427"/>
      <c r="D64" s="1427"/>
      <c r="E64" s="1427"/>
      <c r="F64" s="1427"/>
      <c r="G64" s="1427"/>
      <c r="H64" s="55"/>
      <c r="I64" s="55"/>
      <c r="J64" s="55"/>
    </row>
    <row r="75" spans="2:5" ht="18">
      <c r="B75" s="1375" t="s">
        <v>233</v>
      </c>
      <c r="C75" s="1375"/>
      <c r="D75" s="1375"/>
      <c r="E75" s="1375"/>
    </row>
    <row r="77" spans="1:13" ht="36.75" customHeight="1">
      <c r="A77" s="19">
        <v>3</v>
      </c>
      <c r="B77" s="218" t="s">
        <v>1580</v>
      </c>
      <c r="C77" s="19">
        <v>7130601072</v>
      </c>
      <c r="D77" s="3" t="s">
        <v>1576</v>
      </c>
      <c r="E77" s="605"/>
      <c r="F77" s="53"/>
      <c r="G77" s="53"/>
      <c r="H77" s="605"/>
      <c r="I77" s="606"/>
      <c r="J77" s="53"/>
      <c r="K77" s="606"/>
      <c r="L77" s="606"/>
      <c r="M77" s="111"/>
    </row>
    <row r="78" spans="1:13" ht="15">
      <c r="A78" s="1376">
        <v>6</v>
      </c>
      <c r="B78" s="218" t="s">
        <v>1743</v>
      </c>
      <c r="C78" s="448"/>
      <c r="D78" s="607"/>
      <c r="E78" s="89"/>
      <c r="F78" s="89"/>
      <c r="G78" s="89"/>
      <c r="H78" s="89"/>
      <c r="I78" s="89"/>
      <c r="J78" s="89"/>
      <c r="K78" s="1318"/>
      <c r="L78" s="606"/>
      <c r="M78" s="606"/>
    </row>
    <row r="79" spans="1:13" ht="15">
      <c r="A79" s="1377"/>
      <c r="B79" s="218" t="s">
        <v>2119</v>
      </c>
      <c r="C79" s="19">
        <v>7130810201</v>
      </c>
      <c r="D79" s="3" t="s">
        <v>83</v>
      </c>
      <c r="E79" s="605"/>
      <c r="F79" s="53"/>
      <c r="G79" s="53"/>
      <c r="H79" s="605"/>
      <c r="I79" s="606"/>
      <c r="J79" s="53"/>
      <c r="K79" s="606"/>
      <c r="L79" s="606"/>
      <c r="M79" s="606"/>
    </row>
    <row r="80" spans="1:13" ht="15">
      <c r="A80" s="1378"/>
      <c r="B80" s="218" t="s">
        <v>2120</v>
      </c>
      <c r="C80" s="19">
        <v>7130810251</v>
      </c>
      <c r="D80" s="3" t="s">
        <v>83</v>
      </c>
      <c r="E80" s="605"/>
      <c r="F80" s="53"/>
      <c r="G80" s="53"/>
      <c r="H80" s="605"/>
      <c r="I80" s="606"/>
      <c r="J80" s="53"/>
      <c r="K80" s="606"/>
      <c r="L80" s="606"/>
      <c r="M80" s="606"/>
    </row>
    <row r="81" spans="1:13" ht="15">
      <c r="A81" s="1376">
        <v>13</v>
      </c>
      <c r="B81" s="218" t="s">
        <v>1245</v>
      </c>
      <c r="C81" s="448"/>
      <c r="D81" s="607"/>
      <c r="E81" s="89"/>
      <c r="F81" s="89"/>
      <c r="G81" s="89"/>
      <c r="H81" s="89"/>
      <c r="I81" s="89"/>
      <c r="J81" s="89"/>
      <c r="K81" s="606"/>
      <c r="L81" s="606"/>
      <c r="M81" s="606"/>
    </row>
    <row r="82" spans="1:13" ht="15">
      <c r="A82" s="1377"/>
      <c r="B82" s="218" t="s">
        <v>2119</v>
      </c>
      <c r="C82" s="19">
        <v>7130810201</v>
      </c>
      <c r="D82" s="3" t="s">
        <v>83</v>
      </c>
      <c r="E82" s="53"/>
      <c r="F82" s="53"/>
      <c r="G82" s="53"/>
      <c r="H82" s="605"/>
      <c r="I82" s="606"/>
      <c r="J82" s="53"/>
      <c r="K82" s="606"/>
      <c r="L82" s="606"/>
      <c r="M82" s="606"/>
    </row>
    <row r="83" spans="1:13" ht="15">
      <c r="A83" s="1378"/>
      <c r="B83" s="218" t="s">
        <v>2120</v>
      </c>
      <c r="C83" s="19">
        <v>7130810251</v>
      </c>
      <c r="D83" s="3" t="s">
        <v>83</v>
      </c>
      <c r="E83" s="53"/>
      <c r="F83" s="53"/>
      <c r="G83" s="53"/>
      <c r="H83" s="605"/>
      <c r="I83" s="606"/>
      <c r="J83" s="53"/>
      <c r="K83" s="606"/>
      <c r="L83" s="606"/>
      <c r="M83" s="606"/>
    </row>
  </sheetData>
  <sheetProtection/>
  <mergeCells count="21">
    <mergeCell ref="A35:A40"/>
    <mergeCell ref="C7:C8"/>
    <mergeCell ref="A78:A80"/>
    <mergeCell ref="A81:A83"/>
    <mergeCell ref="K7:M7"/>
    <mergeCell ref="A23:A25"/>
    <mergeCell ref="A7:A8"/>
    <mergeCell ref="B75:E75"/>
    <mergeCell ref="B64:G64"/>
    <mergeCell ref="A62:G62"/>
    <mergeCell ref="B63:G63"/>
    <mergeCell ref="H7:J7"/>
    <mergeCell ref="B7:B8"/>
    <mergeCell ref="A41:A50"/>
    <mergeCell ref="C1:F1"/>
    <mergeCell ref="A27:A29"/>
    <mergeCell ref="D7:D8"/>
    <mergeCell ref="E7:G7"/>
    <mergeCell ref="A14:A16"/>
    <mergeCell ref="B3:J3"/>
    <mergeCell ref="I5:J5"/>
  </mergeCells>
  <printOptions gridLines="1" horizontalCentered="1"/>
  <pageMargins left="0.84" right="0.16" top="0.69" bottom="0.28" header="0.51" footer="0.19"/>
  <pageSetup fitToHeight="3" horizontalDpi="300" verticalDpi="300" orientation="landscape" paperSize="9" scale="85" r:id="rId1"/>
  <rowBreaks count="3" manualBreakCount="3">
    <brk id="28" max="255" man="1"/>
    <brk id="55" max="255" man="1"/>
    <brk id="74" max="16" man="1"/>
  </rowBreaks>
  <ignoredErrors>
    <ignoredError sqref="G20 I41" formula="1"/>
  </ignoredErrors>
</worksheet>
</file>

<file path=xl/worksheets/sheet7.xml><?xml version="1.0" encoding="utf-8"?>
<worksheet xmlns="http://schemas.openxmlformats.org/spreadsheetml/2006/main" xmlns:r="http://schemas.openxmlformats.org/officeDocument/2006/relationships">
  <sheetPr>
    <tabColor indexed="15"/>
  </sheetPr>
  <dimension ref="A1:L57"/>
  <sheetViews>
    <sheetView zoomScalePageLayoutView="0" workbookViewId="0" topLeftCell="A1">
      <pane xSplit="2" ySplit="6" topLeftCell="C31" activePane="bottomRight" state="frozen"/>
      <selection pane="topLeft" activeCell="A1" sqref="A1"/>
      <selection pane="topRight" activeCell="C1" sqref="C1"/>
      <selection pane="bottomLeft" activeCell="A7" sqref="A7"/>
      <selection pane="bottomRight" activeCell="J29" sqref="J29"/>
    </sheetView>
  </sheetViews>
  <sheetFormatPr defaultColWidth="9.140625" defaultRowHeight="12.75"/>
  <cols>
    <col min="1" max="1" width="5.7109375" style="79" customWidth="1"/>
    <col min="2" max="2" width="40.421875" style="2" customWidth="1"/>
    <col min="3" max="3" width="13.57421875" style="2" customWidth="1"/>
    <col min="4" max="4" width="8.7109375" style="2" customWidth="1"/>
    <col min="5" max="5" width="6.7109375" style="2" bestFit="1" customWidth="1"/>
    <col min="6" max="6" width="10.28125" style="2" customWidth="1"/>
    <col min="7" max="7" width="13.140625" style="2" bestFit="1" customWidth="1"/>
    <col min="8" max="8" width="12.00390625" style="2" bestFit="1" customWidth="1"/>
    <col min="9" max="9" width="13.8515625" style="2" customWidth="1"/>
    <col min="10" max="10" width="14.421875" style="2" customWidth="1"/>
    <col min="11" max="11" width="11.8515625" style="2" customWidth="1"/>
    <col min="12" max="16384" width="9.140625" style="2" customWidth="1"/>
  </cols>
  <sheetData>
    <row r="1" spans="2:12" ht="18" customHeight="1">
      <c r="B1" s="1432" t="s">
        <v>693</v>
      </c>
      <c r="C1" s="1432"/>
      <c r="D1" s="1432"/>
      <c r="E1" s="1432"/>
      <c r="F1" s="51"/>
      <c r="G1" s="51"/>
      <c r="H1" s="133"/>
      <c r="I1" s="49"/>
      <c r="J1" s="49"/>
      <c r="K1" s="49"/>
      <c r="L1" s="49"/>
    </row>
    <row r="2" spans="1:12" ht="18">
      <c r="A2" s="52"/>
      <c r="B2" s="52"/>
      <c r="C2" s="52"/>
      <c r="D2" s="52"/>
      <c r="E2" s="52"/>
      <c r="F2" s="52"/>
      <c r="G2" s="437" t="s">
        <v>244</v>
      </c>
      <c r="H2" s="133"/>
      <c r="I2" s="49"/>
      <c r="J2" s="49"/>
      <c r="K2" s="49"/>
      <c r="L2" s="49"/>
    </row>
    <row r="3" spans="2:12" ht="32.25" customHeight="1">
      <c r="B3" s="1433" t="s">
        <v>1599</v>
      </c>
      <c r="C3" s="1433"/>
      <c r="D3" s="1433"/>
      <c r="E3" s="1433"/>
      <c r="F3" s="1433"/>
      <c r="G3" s="47"/>
      <c r="H3" s="47"/>
      <c r="I3" s="49"/>
      <c r="J3" s="49"/>
      <c r="K3" s="49"/>
      <c r="L3" s="49"/>
    </row>
    <row r="4" spans="1:12" ht="15">
      <c r="A4" s="48"/>
      <c r="B4" s="48"/>
      <c r="C4" s="48"/>
      <c r="D4" s="48"/>
      <c r="E4" s="48"/>
      <c r="F4" s="48"/>
      <c r="G4" s="48"/>
      <c r="H4" s="47"/>
      <c r="I4" s="49"/>
      <c r="J4" s="49"/>
      <c r="K4" s="49"/>
      <c r="L4" s="49"/>
    </row>
    <row r="5" spans="1:12" ht="30">
      <c r="A5" s="135" t="s">
        <v>844</v>
      </c>
      <c r="B5" s="46" t="s">
        <v>845</v>
      </c>
      <c r="C5" s="217" t="s">
        <v>88</v>
      </c>
      <c r="D5" s="135" t="s">
        <v>80</v>
      </c>
      <c r="E5" s="135" t="s">
        <v>86</v>
      </c>
      <c r="F5" s="46" t="s">
        <v>1694</v>
      </c>
      <c r="G5" s="135" t="s">
        <v>1693</v>
      </c>
      <c r="H5" s="49"/>
      <c r="I5" s="49"/>
      <c r="J5" s="49"/>
      <c r="K5" s="49"/>
      <c r="L5" s="49"/>
    </row>
    <row r="6" spans="1:12" ht="15.75">
      <c r="A6" s="135">
        <v>1</v>
      </c>
      <c r="B6" s="46">
        <v>2</v>
      </c>
      <c r="C6" s="134">
        <v>3</v>
      </c>
      <c r="D6" s="135">
        <v>4</v>
      </c>
      <c r="E6" s="135">
        <v>5</v>
      </c>
      <c r="F6" s="46">
        <v>6</v>
      </c>
      <c r="G6" s="135">
        <v>7</v>
      </c>
      <c r="H6" s="49"/>
      <c r="I6" s="49"/>
      <c r="J6" s="49"/>
      <c r="K6" s="49"/>
      <c r="L6" s="49"/>
    </row>
    <row r="7" spans="1:12" ht="15">
      <c r="A7" s="635">
        <v>1</v>
      </c>
      <c r="B7" s="847" t="s">
        <v>694</v>
      </c>
      <c r="C7" s="221">
        <v>7130830063</v>
      </c>
      <c r="D7" s="848" t="s">
        <v>66</v>
      </c>
      <c r="E7" s="848">
        <v>3.1</v>
      </c>
      <c r="F7" s="222">
        <f>VLOOKUP(C7,'SOR RATE'!A:D,4,0)</f>
        <v>54885</v>
      </c>
      <c r="G7" s="849">
        <f>F7*E7</f>
        <v>170143.5</v>
      </c>
      <c r="H7" s="49"/>
      <c r="I7" s="49"/>
      <c r="J7" s="49"/>
      <c r="K7" s="49"/>
      <c r="L7" s="49"/>
    </row>
    <row r="8" spans="1:12" ht="29.25" customHeight="1">
      <c r="A8" s="635">
        <v>2</v>
      </c>
      <c r="B8" s="847" t="s">
        <v>846</v>
      </c>
      <c r="C8" s="221">
        <v>7130830051</v>
      </c>
      <c r="D8" s="848" t="s">
        <v>83</v>
      </c>
      <c r="E8" s="848">
        <v>6</v>
      </c>
      <c r="F8" s="222">
        <f>VLOOKUP(C8,'SOR RATE'!A:D,4,0)</f>
        <v>118</v>
      </c>
      <c r="G8" s="849">
        <f>E8*F8</f>
        <v>708</v>
      </c>
      <c r="H8" s="96"/>
      <c r="I8" s="49"/>
      <c r="J8" s="49"/>
      <c r="K8" s="49"/>
      <c r="L8" s="49"/>
    </row>
    <row r="9" spans="1:12" ht="15">
      <c r="A9" s="635">
        <v>3</v>
      </c>
      <c r="B9" s="850" t="s">
        <v>496</v>
      </c>
      <c r="C9" s="238">
        <v>7130820009</v>
      </c>
      <c r="D9" s="851" t="s">
        <v>83</v>
      </c>
      <c r="E9" s="635">
        <v>6</v>
      </c>
      <c r="F9" s="852">
        <f>VLOOKUP(C9,'SOR RATE'!A:D,4,0)</f>
        <v>385</v>
      </c>
      <c r="G9" s="853">
        <f>E9*F9</f>
        <v>2310</v>
      </c>
      <c r="H9" s="96"/>
      <c r="I9" s="98"/>
      <c r="J9" s="98"/>
      <c r="K9" s="99"/>
      <c r="L9" s="100"/>
    </row>
    <row r="10" spans="1:12" ht="15">
      <c r="A10" s="1436">
        <v>4</v>
      </c>
      <c r="B10" s="847" t="s">
        <v>847</v>
      </c>
      <c r="C10" s="854"/>
      <c r="D10" s="855"/>
      <c r="E10" s="855"/>
      <c r="F10" s="855"/>
      <c r="G10" s="856"/>
      <c r="H10" s="49"/>
      <c r="I10" s="49"/>
      <c r="J10" s="98"/>
      <c r="K10" s="99"/>
      <c r="L10" s="100"/>
    </row>
    <row r="11" spans="1:12" ht="16.5" customHeight="1">
      <c r="A11" s="1436"/>
      <c r="B11" s="847" t="s">
        <v>848</v>
      </c>
      <c r="C11" s="221">
        <v>7130870045</v>
      </c>
      <c r="D11" s="848" t="s">
        <v>1576</v>
      </c>
      <c r="E11" s="848">
        <f>'A-1'!E39</f>
        <v>49</v>
      </c>
      <c r="F11" s="222">
        <f>VLOOKUP(C11,'SOR RATE'!A:D,4,0)/1000</f>
        <v>52.969</v>
      </c>
      <c r="G11" s="849">
        <f aca="true" t="shared" si="0" ref="G11:G18">F11*E11</f>
        <v>2595.481</v>
      </c>
      <c r="H11" s="49"/>
      <c r="I11" s="49"/>
      <c r="J11" s="49"/>
      <c r="K11" s="49"/>
      <c r="L11" s="49"/>
    </row>
    <row r="12" spans="1:12" ht="18" customHeight="1">
      <c r="A12" s="1436"/>
      <c r="B12" s="847" t="s">
        <v>2183</v>
      </c>
      <c r="C12" s="221">
        <v>7130870043</v>
      </c>
      <c r="D12" s="848" t="s">
        <v>1576</v>
      </c>
      <c r="E12" s="848">
        <v>20</v>
      </c>
      <c r="F12" s="222">
        <f>VLOOKUP(C12,'SOR RATE'!A:D,4,0)/1000</f>
        <v>52.969</v>
      </c>
      <c r="G12" s="849">
        <f t="shared" si="0"/>
        <v>1059.38</v>
      </c>
      <c r="H12" s="49"/>
      <c r="I12" s="49"/>
      <c r="J12" s="49"/>
      <c r="K12" s="49"/>
      <c r="L12" s="49"/>
    </row>
    <row r="13" spans="1:12" ht="17.25" customHeight="1">
      <c r="A13" s="1436"/>
      <c r="B13" s="847" t="s">
        <v>1033</v>
      </c>
      <c r="C13" s="221">
        <v>7130897759</v>
      </c>
      <c r="D13" s="848" t="s">
        <v>83</v>
      </c>
      <c r="E13" s="848">
        <v>1</v>
      </c>
      <c r="F13" s="222">
        <f>VLOOKUP(C13,'SOR RATE'!A:D,4,0)</f>
        <v>2739.85</v>
      </c>
      <c r="G13" s="849">
        <f t="shared" si="0"/>
        <v>2739.85</v>
      </c>
      <c r="H13" s="49"/>
      <c r="I13" s="49"/>
      <c r="J13" s="49"/>
      <c r="K13" s="49"/>
      <c r="L13" s="49"/>
    </row>
    <row r="14" spans="1:12" ht="17.25" customHeight="1">
      <c r="A14" s="1436"/>
      <c r="B14" s="847" t="s">
        <v>849</v>
      </c>
      <c r="C14" s="221">
        <v>7130620625</v>
      </c>
      <c r="D14" s="848" t="s">
        <v>1576</v>
      </c>
      <c r="E14" s="848">
        <v>1.2</v>
      </c>
      <c r="F14" s="222">
        <f>VLOOKUP(C14,'SOR RATE'!A:D,4,0)</f>
        <v>61</v>
      </c>
      <c r="G14" s="849">
        <f t="shared" si="0"/>
        <v>73.2</v>
      </c>
      <c r="H14" s="49"/>
      <c r="I14" s="50"/>
      <c r="J14" s="50"/>
      <c r="K14" s="50"/>
      <c r="L14" s="49"/>
    </row>
    <row r="15" spans="1:12" ht="15">
      <c r="A15" s="1436"/>
      <c r="B15" s="847" t="s">
        <v>2184</v>
      </c>
      <c r="C15" s="176">
        <v>7130620013</v>
      </c>
      <c r="D15" s="848" t="s">
        <v>83</v>
      </c>
      <c r="E15" s="848">
        <v>4</v>
      </c>
      <c r="F15" s="222">
        <f>VLOOKUP(C15,'SOR RATE'!A:D,4,0)</f>
        <v>116.46</v>
      </c>
      <c r="G15" s="849">
        <f t="shared" si="0"/>
        <v>465.84</v>
      </c>
      <c r="H15" s="49"/>
      <c r="I15" s="49"/>
      <c r="J15" s="49"/>
      <c r="K15" s="49"/>
      <c r="L15" s="49"/>
    </row>
    <row r="16" spans="1:12" ht="15">
      <c r="A16" s="1436"/>
      <c r="B16" s="847" t="s">
        <v>65</v>
      </c>
      <c r="C16" s="221">
        <v>7130860033</v>
      </c>
      <c r="D16" s="848" t="s">
        <v>83</v>
      </c>
      <c r="E16" s="848">
        <v>2</v>
      </c>
      <c r="F16" s="222">
        <f>VLOOKUP(C16,'SOR RATE'!A:D,4,0)</f>
        <v>629</v>
      </c>
      <c r="G16" s="849">
        <f t="shared" si="0"/>
        <v>1258</v>
      </c>
      <c r="H16" s="49"/>
      <c r="I16" s="49"/>
      <c r="J16" s="49"/>
      <c r="K16" s="49"/>
      <c r="L16" s="49"/>
    </row>
    <row r="17" spans="1:12" ht="15">
      <c r="A17" s="1436"/>
      <c r="B17" s="847" t="s">
        <v>850</v>
      </c>
      <c r="C17" s="221">
        <v>7130860076</v>
      </c>
      <c r="D17" s="848" t="s">
        <v>1576</v>
      </c>
      <c r="E17" s="848">
        <v>17</v>
      </c>
      <c r="F17" s="222">
        <f>VLOOKUP(C17,'SOR RATE'!A:D,4,0)/1000</f>
        <v>58.65</v>
      </c>
      <c r="G17" s="849">
        <f t="shared" si="0"/>
        <v>997.05</v>
      </c>
      <c r="H17" s="49"/>
      <c r="I17" s="49"/>
      <c r="J17" s="49"/>
      <c r="K17" s="49"/>
      <c r="L17" s="49"/>
    </row>
    <row r="18" spans="1:12" ht="15">
      <c r="A18" s="1436"/>
      <c r="B18" s="847" t="s">
        <v>301</v>
      </c>
      <c r="C18" s="221">
        <v>7130620619</v>
      </c>
      <c r="D18" s="848" t="s">
        <v>1576</v>
      </c>
      <c r="E18" s="848">
        <v>1.5</v>
      </c>
      <c r="F18" s="222">
        <f>VLOOKUP(C18,'SOR RATE'!A:D,4,0)</f>
        <v>62</v>
      </c>
      <c r="G18" s="849">
        <f t="shared" si="0"/>
        <v>93</v>
      </c>
      <c r="H18" s="49"/>
      <c r="I18" s="49"/>
      <c r="J18" s="49"/>
      <c r="K18" s="49"/>
      <c r="L18" s="49"/>
    </row>
    <row r="19" spans="1:12" ht="17.25" customHeight="1">
      <c r="A19" s="1434">
        <v>5</v>
      </c>
      <c r="B19" s="847" t="s">
        <v>1035</v>
      </c>
      <c r="C19" s="221"/>
      <c r="D19" s="848" t="s">
        <v>1571</v>
      </c>
      <c r="E19" s="848">
        <v>0.6</v>
      </c>
      <c r="F19" s="222"/>
      <c r="G19" s="849"/>
      <c r="H19" s="49"/>
      <c r="I19" s="49"/>
      <c r="J19" s="49"/>
      <c r="K19" s="49"/>
      <c r="L19" s="49"/>
    </row>
    <row r="20" spans="1:12" ht="15">
      <c r="A20" s="1435"/>
      <c r="B20" s="847" t="s">
        <v>1708</v>
      </c>
      <c r="C20" s="176">
        <v>7130200401</v>
      </c>
      <c r="D20" s="848" t="s">
        <v>1576</v>
      </c>
      <c r="E20" s="848">
        <f>208*0.6</f>
        <v>124.8</v>
      </c>
      <c r="F20" s="222">
        <f>VLOOKUP(C20,'SOR RATE'!A:D,4,0)/50</f>
        <v>4.9</v>
      </c>
      <c r="G20" s="849">
        <f>E20*F20</f>
        <v>611.52</v>
      </c>
      <c r="H20" s="49"/>
      <c r="J20" s="49"/>
      <c r="K20" s="49"/>
      <c r="L20" s="49"/>
    </row>
    <row r="21" spans="1:12" ht="15">
      <c r="A21" s="857">
        <v>6</v>
      </c>
      <c r="B21" s="858" t="s">
        <v>1052</v>
      </c>
      <c r="C21" s="135"/>
      <c r="D21" s="859" t="s">
        <v>1036</v>
      </c>
      <c r="E21" s="848"/>
      <c r="F21" s="849"/>
      <c r="G21" s="860">
        <f>SUM(G7:G20)</f>
        <v>183054.821</v>
      </c>
      <c r="H21" s="202"/>
      <c r="I21" s="117"/>
      <c r="J21" s="49"/>
      <c r="K21" s="49"/>
      <c r="L21" s="49"/>
    </row>
    <row r="22" spans="1:12" ht="15.75">
      <c r="A22" s="626">
        <v>7</v>
      </c>
      <c r="B22" s="223" t="s">
        <v>1051</v>
      </c>
      <c r="C22" s="861"/>
      <c r="D22" s="862"/>
      <c r="E22" s="862"/>
      <c r="F22" s="863">
        <v>0.09</v>
      </c>
      <c r="G22" s="864">
        <f>G21*F22</f>
        <v>16474.93389</v>
      </c>
      <c r="H22" s="202"/>
      <c r="I22" s="117"/>
      <c r="J22" s="49"/>
      <c r="K22" s="49"/>
      <c r="L22" s="49"/>
    </row>
    <row r="23" spans="1:12" ht="17.25" customHeight="1">
      <c r="A23" s="848">
        <v>8</v>
      </c>
      <c r="B23" s="865" t="s">
        <v>851</v>
      </c>
      <c r="C23" s="866"/>
      <c r="D23" s="867" t="s">
        <v>1571</v>
      </c>
      <c r="E23" s="848">
        <v>0.6</v>
      </c>
      <c r="F23" s="222">
        <f>1664*1.27*1.0891*1.086275*1.1112*1.0685*1.06217</f>
        <v>3153.010200829536</v>
      </c>
      <c r="G23" s="849">
        <f>E23*F23</f>
        <v>1891.8061204977216</v>
      </c>
      <c r="H23" s="49"/>
      <c r="I23" s="63"/>
      <c r="J23" s="49"/>
      <c r="K23" s="49"/>
      <c r="L23" s="49"/>
    </row>
    <row r="24" spans="1:12" ht="15.75">
      <c r="A24" s="1434">
        <v>9</v>
      </c>
      <c r="B24" s="865" t="s">
        <v>852</v>
      </c>
      <c r="C24" s="868"/>
      <c r="D24" s="868"/>
      <c r="E24" s="868"/>
      <c r="F24" s="868"/>
      <c r="G24" s="869">
        <f>G25+G26+G27+G28</f>
        <v>16515.920000000002</v>
      </c>
      <c r="H24" s="118"/>
      <c r="I24" s="63"/>
      <c r="J24" s="49"/>
      <c r="K24" s="49"/>
      <c r="L24" s="49"/>
    </row>
    <row r="25" spans="1:12" ht="15">
      <c r="A25" s="1437"/>
      <c r="B25" s="870" t="s">
        <v>853</v>
      </c>
      <c r="C25" s="871"/>
      <c r="D25" s="872" t="s">
        <v>83</v>
      </c>
      <c r="E25" s="848">
        <v>2</v>
      </c>
      <c r="F25" s="222">
        <v>149.37</v>
      </c>
      <c r="G25" s="849">
        <f>E25*F25</f>
        <v>298.74</v>
      </c>
      <c r="H25" s="49"/>
      <c r="I25" s="63"/>
      <c r="J25" s="49"/>
      <c r="K25" s="49"/>
      <c r="L25" s="49"/>
    </row>
    <row r="26" spans="1:12" ht="15">
      <c r="A26" s="1437"/>
      <c r="B26" s="847" t="s">
        <v>1011</v>
      </c>
      <c r="C26" s="847"/>
      <c r="D26" s="225" t="s">
        <v>1012</v>
      </c>
      <c r="E26" s="848">
        <v>1</v>
      </c>
      <c r="F26" s="222">
        <v>9602.28</v>
      </c>
      <c r="G26" s="849">
        <f>E26*F26</f>
        <v>9602.28</v>
      </c>
      <c r="H26" s="49"/>
      <c r="I26" s="63"/>
      <c r="J26" s="49"/>
      <c r="K26" s="49"/>
      <c r="L26" s="49"/>
    </row>
    <row r="27" spans="1:12" ht="15">
      <c r="A27" s="1437"/>
      <c r="B27" s="847" t="s">
        <v>1013</v>
      </c>
      <c r="C27" s="847"/>
      <c r="D27" s="225" t="s">
        <v>1014</v>
      </c>
      <c r="E27" s="848">
        <v>1</v>
      </c>
      <c r="F27" s="222">
        <v>1813.76</v>
      </c>
      <c r="G27" s="849">
        <f>E27*F27</f>
        <v>1813.76</v>
      </c>
      <c r="H27" s="49"/>
      <c r="I27" s="63"/>
      <c r="J27" s="49"/>
      <c r="K27" s="49"/>
      <c r="L27" s="49"/>
    </row>
    <row r="28" spans="1:12" ht="15">
      <c r="A28" s="1435"/>
      <c r="B28" s="873" t="s">
        <v>1015</v>
      </c>
      <c r="C28" s="873"/>
      <c r="D28" s="225" t="s">
        <v>1012</v>
      </c>
      <c r="E28" s="225">
        <v>1</v>
      </c>
      <c r="F28" s="874">
        <f>F26*0.5</f>
        <v>4801.14</v>
      </c>
      <c r="G28" s="849">
        <f>E28*F28</f>
        <v>4801.14</v>
      </c>
      <c r="H28" s="49"/>
      <c r="I28" s="49"/>
      <c r="J28" s="49"/>
      <c r="K28" s="49"/>
      <c r="L28" s="49"/>
    </row>
    <row r="29" spans="1:12" ht="15">
      <c r="A29" s="857">
        <v>10</v>
      </c>
      <c r="B29" s="858" t="s">
        <v>1053</v>
      </c>
      <c r="C29" s="875"/>
      <c r="D29" s="225"/>
      <c r="E29" s="225"/>
      <c r="F29" s="876"/>
      <c r="G29" s="860">
        <f>G21+G22+G23+G24</f>
        <v>217937.48101049772</v>
      </c>
      <c r="H29" s="204"/>
      <c r="I29" s="125"/>
      <c r="J29" s="49"/>
      <c r="K29" s="49"/>
      <c r="L29" s="49"/>
    </row>
    <row r="30" spans="1:12" ht="42.75">
      <c r="A30" s="635">
        <v>11</v>
      </c>
      <c r="B30" s="223" t="s">
        <v>1054</v>
      </c>
      <c r="C30" s="875"/>
      <c r="D30" s="225"/>
      <c r="E30" s="225"/>
      <c r="F30" s="461">
        <v>0.11</v>
      </c>
      <c r="G30" s="849">
        <f>G21*F30</f>
        <v>20136.03031</v>
      </c>
      <c r="H30" s="204"/>
      <c r="I30" s="125"/>
      <c r="J30" s="49"/>
      <c r="K30" s="49"/>
      <c r="L30" s="49"/>
    </row>
    <row r="31" spans="1:12" ht="42.75">
      <c r="A31" s="848">
        <v>12</v>
      </c>
      <c r="B31" s="847" t="s">
        <v>1016</v>
      </c>
      <c r="C31" s="847"/>
      <c r="D31" s="225"/>
      <c r="E31" s="848">
        <v>3.1</v>
      </c>
      <c r="F31" s="849">
        <v>5229.36</v>
      </c>
      <c r="G31" s="849">
        <f>E31*F31</f>
        <v>16211.016</v>
      </c>
      <c r="I31" s="136"/>
      <c r="J31" s="439"/>
      <c r="K31" s="49"/>
      <c r="L31" s="49"/>
    </row>
    <row r="32" spans="1:12" ht="15.75">
      <c r="A32" s="857">
        <v>13</v>
      </c>
      <c r="B32" s="1438" t="s">
        <v>1906</v>
      </c>
      <c r="C32" s="1438"/>
      <c r="D32" s="1438"/>
      <c r="E32" s="1438"/>
      <c r="F32" s="1438"/>
      <c r="G32" s="818">
        <f>(G29+G30-G31)</f>
        <v>221862.49532049772</v>
      </c>
      <c r="H32" s="63"/>
      <c r="I32" s="63"/>
      <c r="J32" s="49"/>
      <c r="K32" s="49"/>
      <c r="L32" s="49"/>
    </row>
    <row r="33" spans="1:12" ht="15.75">
      <c r="A33" s="83">
        <v>14</v>
      </c>
      <c r="B33" s="636" t="s">
        <v>4</v>
      </c>
      <c r="C33" s="877"/>
      <c r="D33" s="877"/>
      <c r="E33" s="877"/>
      <c r="F33" s="878"/>
      <c r="G33" s="879">
        <f>ROUND(G32,0)</f>
        <v>221862</v>
      </c>
      <c r="H33" s="49"/>
      <c r="I33" s="63"/>
      <c r="J33" s="49"/>
      <c r="K33" s="49"/>
      <c r="L33" s="49"/>
    </row>
    <row r="34" spans="1:12" ht="15">
      <c r="A34" s="137"/>
      <c r="B34" s="49"/>
      <c r="C34" s="49"/>
      <c r="D34" s="49"/>
      <c r="E34" s="49"/>
      <c r="F34" s="49"/>
      <c r="G34" s="49"/>
      <c r="H34" s="49"/>
      <c r="I34" s="49"/>
      <c r="J34" s="49"/>
      <c r="K34" s="49"/>
      <c r="L34" s="49"/>
    </row>
    <row r="56" spans="1:3" s="145" customFormat="1" ht="15">
      <c r="A56" s="564"/>
      <c r="B56" s="1431"/>
      <c r="C56" s="1431"/>
    </row>
    <row r="57" spans="1:3" s="145" customFormat="1" ht="14.25">
      <c r="A57" s="564"/>
      <c r="B57" s="195"/>
      <c r="C57" s="565"/>
    </row>
  </sheetData>
  <sheetProtection/>
  <mergeCells count="7">
    <mergeCell ref="B56:C56"/>
    <mergeCell ref="B1:E1"/>
    <mergeCell ref="B3:F3"/>
    <mergeCell ref="A19:A20"/>
    <mergeCell ref="A10:A18"/>
    <mergeCell ref="A24:A28"/>
    <mergeCell ref="B32:F32"/>
  </mergeCells>
  <printOptions/>
  <pageMargins left="0.9" right="0.1" top="0.71" bottom="0.35" header="0.38" footer="0.17"/>
  <pageSetup horizontalDpi="600" verticalDpi="600" orientation="landscape" scale="130" r:id="rId1"/>
  <ignoredErrors>
    <ignoredError sqref="G24" formula="1"/>
  </ignoredErrors>
</worksheet>
</file>

<file path=xl/worksheets/sheet8.xml><?xml version="1.0" encoding="utf-8"?>
<worksheet xmlns="http://schemas.openxmlformats.org/spreadsheetml/2006/main" xmlns:r="http://schemas.openxmlformats.org/officeDocument/2006/relationships">
  <sheetPr>
    <tabColor indexed="15"/>
  </sheetPr>
  <dimension ref="A1:N56"/>
  <sheetViews>
    <sheetView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G59" sqref="G59"/>
    </sheetView>
  </sheetViews>
  <sheetFormatPr defaultColWidth="9.140625" defaultRowHeight="12.75"/>
  <cols>
    <col min="1" max="1" width="4.8515625" style="79" customWidth="1"/>
    <col min="2" max="2" width="47.28125" style="2" customWidth="1"/>
    <col min="3" max="3" width="14.28125" style="2" bestFit="1" customWidth="1"/>
    <col min="4" max="4" width="7.140625" style="2" customWidth="1"/>
    <col min="5" max="5" width="8.00390625" style="2" customWidth="1"/>
    <col min="6" max="6" width="9.28125" style="2" customWidth="1"/>
    <col min="7" max="7" width="11.28125" style="2" customWidth="1"/>
    <col min="8" max="8" width="9.140625" style="2" customWidth="1"/>
    <col min="9" max="9" width="10.28125" style="2" customWidth="1"/>
    <col min="10" max="10" width="18.28125" style="2" customWidth="1"/>
    <col min="11" max="11" width="9.140625" style="2" customWidth="1"/>
    <col min="12" max="12" width="6.28125" style="2" customWidth="1"/>
    <col min="13" max="16384" width="9.140625" style="2" customWidth="1"/>
  </cols>
  <sheetData>
    <row r="1" spans="2:12" ht="20.25" customHeight="1">
      <c r="B1" s="1432" t="s">
        <v>1378</v>
      </c>
      <c r="C1" s="1432"/>
      <c r="D1" s="29"/>
      <c r="E1" s="29"/>
      <c r="F1" s="29"/>
      <c r="G1" s="39"/>
      <c r="H1" s="24"/>
      <c r="I1" s="24"/>
      <c r="J1" s="24"/>
      <c r="K1" s="24"/>
      <c r="L1" s="24"/>
    </row>
    <row r="2" spans="1:12" ht="15" customHeight="1">
      <c r="A2" s="40"/>
      <c r="B2" s="211"/>
      <c r="C2" s="211"/>
      <c r="D2" s="211"/>
      <c r="E2" s="211"/>
      <c r="F2" s="1447" t="s">
        <v>244</v>
      </c>
      <c r="G2" s="1447"/>
      <c r="H2" s="24"/>
      <c r="I2" s="24"/>
      <c r="J2" s="24"/>
      <c r="K2" s="24"/>
      <c r="L2" s="24"/>
    </row>
    <row r="3" spans="2:12" ht="32.25" customHeight="1">
      <c r="B3" s="1445" t="s">
        <v>897</v>
      </c>
      <c r="C3" s="1445"/>
      <c r="D3" s="1445"/>
      <c r="E3" s="1445"/>
      <c r="F3" s="1445"/>
      <c r="G3" s="1445"/>
      <c r="H3" s="24"/>
      <c r="I3" s="24"/>
      <c r="J3" s="24"/>
      <c r="K3" s="24"/>
      <c r="L3" s="24"/>
    </row>
    <row r="4" spans="1:12" ht="20.25" customHeight="1">
      <c r="A4" s="41"/>
      <c r="B4" s="41"/>
      <c r="C4" s="41"/>
      <c r="D4" s="41"/>
      <c r="E4" s="41"/>
      <c r="F4" s="41"/>
      <c r="G4" s="41"/>
      <c r="H4" s="24"/>
      <c r="I4" s="24"/>
      <c r="J4" s="24"/>
      <c r="K4" s="24"/>
      <c r="L4" s="24"/>
    </row>
    <row r="5" spans="1:12" ht="36" customHeight="1">
      <c r="A5" s="1441" t="s">
        <v>2104</v>
      </c>
      <c r="B5" s="1441" t="s">
        <v>79</v>
      </c>
      <c r="C5" s="1443" t="s">
        <v>88</v>
      </c>
      <c r="D5" s="1441" t="s">
        <v>80</v>
      </c>
      <c r="E5" s="1446" t="s">
        <v>1344</v>
      </c>
      <c r="F5" s="1446"/>
      <c r="G5" s="1446"/>
      <c r="H5" s="432"/>
      <c r="I5" s="432"/>
      <c r="J5" s="24"/>
      <c r="K5" s="24"/>
      <c r="L5" s="24"/>
    </row>
    <row r="6" spans="1:12" ht="18.75" customHeight="1">
      <c r="A6" s="1441"/>
      <c r="B6" s="1441"/>
      <c r="C6" s="1444"/>
      <c r="D6" s="1441"/>
      <c r="E6" s="138" t="s">
        <v>82</v>
      </c>
      <c r="F6" s="138" t="s">
        <v>1326</v>
      </c>
      <c r="G6" s="138" t="s">
        <v>2047</v>
      </c>
      <c r="H6" s="42"/>
      <c r="I6" s="42"/>
      <c r="J6" s="42"/>
      <c r="K6" s="42"/>
      <c r="L6" s="42"/>
    </row>
    <row r="7" spans="1:10" ht="15.75">
      <c r="A7" s="139">
        <v>1</v>
      </c>
      <c r="B7" s="139">
        <v>2</v>
      </c>
      <c r="C7" s="140">
        <v>3</v>
      </c>
      <c r="D7" s="139">
        <v>4</v>
      </c>
      <c r="E7" s="141">
        <v>5</v>
      </c>
      <c r="F7" s="141">
        <v>6</v>
      </c>
      <c r="G7" s="141">
        <v>7</v>
      </c>
      <c r="H7" s="42"/>
      <c r="I7" s="103"/>
      <c r="J7" s="2" t="s">
        <v>55</v>
      </c>
    </row>
    <row r="8" spans="1:14" ht="32.25" customHeight="1">
      <c r="A8" s="226">
        <v>1</v>
      </c>
      <c r="B8" s="223" t="s">
        <v>1940</v>
      </c>
      <c r="C8" s="224">
        <v>7130601958</v>
      </c>
      <c r="D8" s="461" t="s">
        <v>1576</v>
      </c>
      <c r="E8" s="462">
        <v>482.3</v>
      </c>
      <c r="F8" s="227">
        <f>VLOOKUP(C8,'SOR RATE'!A:D,4,0)/1000</f>
        <v>32.575</v>
      </c>
      <c r="G8" s="227">
        <f>F8*E8</f>
        <v>15710.922500000002</v>
      </c>
      <c r="H8" s="144"/>
      <c r="I8" s="144"/>
      <c r="J8" s="144"/>
      <c r="K8" s="144"/>
      <c r="L8" s="144"/>
      <c r="M8" s="144"/>
      <c r="N8" s="144"/>
    </row>
    <row r="9" spans="1:11" ht="16.5" customHeight="1">
      <c r="A9" s="880">
        <v>2</v>
      </c>
      <c r="B9" s="228" t="s">
        <v>241</v>
      </c>
      <c r="C9" s="226">
        <v>7130810595</v>
      </c>
      <c r="D9" s="881" t="s">
        <v>83</v>
      </c>
      <c r="E9" s="882">
        <v>1</v>
      </c>
      <c r="F9" s="227">
        <f>VLOOKUP(C9,'SOR RATE'!A:D,4,0)</f>
        <v>1927.4</v>
      </c>
      <c r="G9" s="227">
        <f aca="true" t="shared" si="0" ref="G9:G14">F9*E9</f>
        <v>1927.4</v>
      </c>
      <c r="I9" s="42"/>
      <c r="J9" s="42"/>
      <c r="K9" s="42"/>
    </row>
    <row r="10" spans="1:10" ht="18" customHeight="1">
      <c r="A10" s="1439">
        <v>3</v>
      </c>
      <c r="B10" s="228" t="s">
        <v>1307</v>
      </c>
      <c r="C10" s="566"/>
      <c r="D10" s="567"/>
      <c r="E10" s="567"/>
      <c r="F10" s="567"/>
      <c r="G10" s="568"/>
      <c r="H10" s="24"/>
      <c r="J10" s="143"/>
    </row>
    <row r="11" spans="1:11" ht="17.25" customHeight="1">
      <c r="A11" s="1442"/>
      <c r="B11" s="223" t="s">
        <v>1941</v>
      </c>
      <c r="C11" s="224">
        <v>7130810692</v>
      </c>
      <c r="D11" s="461" t="s">
        <v>83</v>
      </c>
      <c r="E11" s="882">
        <v>1</v>
      </c>
      <c r="F11" s="227">
        <f>VLOOKUP(C11,'SOR RATE'!A:D,4,0)</f>
        <v>249.66</v>
      </c>
      <c r="G11" s="227">
        <f t="shared" si="0"/>
        <v>249.66</v>
      </c>
      <c r="H11" s="24"/>
      <c r="J11" s="103"/>
      <c r="K11" s="103"/>
    </row>
    <row r="12" spans="1:11" ht="17.25" customHeight="1">
      <c r="A12" s="882">
        <v>4</v>
      </c>
      <c r="B12" s="228" t="s">
        <v>1017</v>
      </c>
      <c r="C12" s="226">
        <v>7130810676</v>
      </c>
      <c r="D12" s="881" t="s">
        <v>83</v>
      </c>
      <c r="E12" s="882">
        <v>1</v>
      </c>
      <c r="F12" s="227">
        <f>VLOOKUP(C12,'SOR RATE'!A:D,4,0)</f>
        <v>320.68</v>
      </c>
      <c r="G12" s="227">
        <f t="shared" si="0"/>
        <v>320.68</v>
      </c>
      <c r="H12" s="24"/>
      <c r="I12" s="142"/>
      <c r="J12" s="142"/>
      <c r="K12" s="142"/>
    </row>
    <row r="13" spans="1:12" ht="17.25" customHeight="1">
      <c r="A13" s="226">
        <v>5</v>
      </c>
      <c r="B13" s="228" t="s">
        <v>84</v>
      </c>
      <c r="C13" s="226">
        <v>7130870013</v>
      </c>
      <c r="D13" s="881" t="s">
        <v>1611</v>
      </c>
      <c r="E13" s="882">
        <v>1</v>
      </c>
      <c r="F13" s="227">
        <f>VLOOKUP(C13,'SOR RATE'!A:D,4,0)</f>
        <v>97</v>
      </c>
      <c r="G13" s="227">
        <f t="shared" si="0"/>
        <v>97</v>
      </c>
      <c r="H13" s="44"/>
      <c r="I13" s="107"/>
      <c r="J13" s="107"/>
      <c r="K13" s="103"/>
      <c r="L13" s="103"/>
    </row>
    <row r="14" spans="1:11" ht="15.75" customHeight="1">
      <c r="A14" s="880">
        <v>6</v>
      </c>
      <c r="B14" s="223" t="s">
        <v>496</v>
      </c>
      <c r="C14" s="224">
        <v>7130820009</v>
      </c>
      <c r="D14" s="881" t="s">
        <v>83</v>
      </c>
      <c r="E14" s="882">
        <v>3</v>
      </c>
      <c r="F14" s="227">
        <f>VLOOKUP(C14,'SOR RATE'!A:D,4,0)</f>
        <v>385</v>
      </c>
      <c r="G14" s="227">
        <f t="shared" si="0"/>
        <v>1155</v>
      </c>
      <c r="H14" s="24"/>
      <c r="J14" s="144"/>
      <c r="K14" s="144"/>
    </row>
    <row r="15" spans="1:11" ht="46.5" customHeight="1">
      <c r="A15" s="1439">
        <v>7</v>
      </c>
      <c r="B15" s="883" t="s">
        <v>2135</v>
      </c>
      <c r="C15" s="226"/>
      <c r="D15" s="881" t="s">
        <v>1571</v>
      </c>
      <c r="E15" s="227">
        <v>0.65</v>
      </c>
      <c r="F15" s="227"/>
      <c r="G15" s="227"/>
      <c r="I15" s="433"/>
      <c r="J15" s="433"/>
      <c r="K15" s="103"/>
    </row>
    <row r="16" spans="1:11" ht="18" customHeight="1">
      <c r="A16" s="1440"/>
      <c r="B16" s="228" t="s">
        <v>2113</v>
      </c>
      <c r="C16" s="226">
        <v>7130200401</v>
      </c>
      <c r="D16" s="881" t="s">
        <v>1576</v>
      </c>
      <c r="E16" s="227">
        <f>208*E15</f>
        <v>135.20000000000002</v>
      </c>
      <c r="F16" s="227">
        <f>VLOOKUP(C16,'SOR RATE'!A:D,4,0)/50</f>
        <v>4.9</v>
      </c>
      <c r="G16" s="227">
        <f aca="true" t="shared" si="1" ref="G16:G21">F16*E16</f>
        <v>662.4800000000001</v>
      </c>
      <c r="H16" s="24"/>
      <c r="I16" s="101"/>
      <c r="J16" s="103"/>
      <c r="K16" s="103"/>
    </row>
    <row r="17" spans="1:11" ht="14.25">
      <c r="A17" s="880">
        <v>8</v>
      </c>
      <c r="B17" s="228" t="s">
        <v>1572</v>
      </c>
      <c r="C17" s="226">
        <v>7130211158</v>
      </c>
      <c r="D17" s="881" t="s">
        <v>1573</v>
      </c>
      <c r="E17" s="882">
        <v>1</v>
      </c>
      <c r="F17" s="227">
        <f>VLOOKUP(C17,'SOR RATE'!A:D,4,0)</f>
        <v>133</v>
      </c>
      <c r="G17" s="227">
        <f t="shared" si="1"/>
        <v>133</v>
      </c>
      <c r="H17" s="24"/>
      <c r="I17" s="102"/>
      <c r="J17" s="103"/>
      <c r="K17" s="103"/>
    </row>
    <row r="18" spans="1:7" ht="14.25">
      <c r="A18" s="880">
        <v>9</v>
      </c>
      <c r="B18" s="228" t="s">
        <v>1574</v>
      </c>
      <c r="C18" s="226">
        <v>7130210809</v>
      </c>
      <c r="D18" s="881" t="s">
        <v>1573</v>
      </c>
      <c r="E18" s="882">
        <v>1</v>
      </c>
      <c r="F18" s="227">
        <f>VLOOKUP(C18,'SOR RATE'!A:D,4,0)</f>
        <v>297</v>
      </c>
      <c r="G18" s="227">
        <f t="shared" si="1"/>
        <v>297</v>
      </c>
    </row>
    <row r="19" spans="1:12" ht="16.5" customHeight="1">
      <c r="A19" s="880">
        <v>10</v>
      </c>
      <c r="B19" s="223" t="s">
        <v>1438</v>
      </c>
      <c r="C19" s="224">
        <v>7130610206</v>
      </c>
      <c r="D19" s="881" t="s">
        <v>1576</v>
      </c>
      <c r="E19" s="882">
        <v>2</v>
      </c>
      <c r="F19" s="227">
        <f>VLOOKUP(C19,'SOR RATE'!A:D,4,0)/1000</f>
        <v>63.963</v>
      </c>
      <c r="G19" s="227">
        <f t="shared" si="1"/>
        <v>127.926</v>
      </c>
      <c r="H19" s="1451" t="s">
        <v>2136</v>
      </c>
      <c r="I19" s="1452"/>
      <c r="J19" s="521"/>
      <c r="K19" s="104"/>
      <c r="L19" s="24"/>
    </row>
    <row r="20" spans="1:12" ht="15.75" customHeight="1">
      <c r="A20" s="880">
        <v>11</v>
      </c>
      <c r="B20" s="228" t="s">
        <v>1575</v>
      </c>
      <c r="C20" s="226">
        <v>7130880041</v>
      </c>
      <c r="D20" s="881" t="s">
        <v>83</v>
      </c>
      <c r="E20" s="882">
        <v>1</v>
      </c>
      <c r="F20" s="227">
        <f>VLOOKUP(C20,'SOR RATE'!A:D,4,0)</f>
        <v>62</v>
      </c>
      <c r="G20" s="227">
        <f t="shared" si="1"/>
        <v>62</v>
      </c>
      <c r="H20" s="24"/>
      <c r="I20" s="24"/>
      <c r="J20" s="24"/>
      <c r="K20" s="24"/>
      <c r="L20" s="24"/>
    </row>
    <row r="21" spans="1:12" ht="18" customHeight="1">
      <c r="A21" s="226">
        <v>12</v>
      </c>
      <c r="B21" s="228" t="s">
        <v>687</v>
      </c>
      <c r="C21" s="226">
        <v>7130830006</v>
      </c>
      <c r="D21" s="881" t="s">
        <v>1576</v>
      </c>
      <c r="E21" s="227">
        <v>0.5</v>
      </c>
      <c r="F21" s="227">
        <f>VLOOKUP(C21,'SOR RATE'!A:D,4,0)</f>
        <v>130</v>
      </c>
      <c r="G21" s="227">
        <f t="shared" si="1"/>
        <v>65</v>
      </c>
      <c r="H21" s="24"/>
      <c r="I21" s="24"/>
      <c r="J21" s="24"/>
      <c r="K21" s="24"/>
      <c r="L21" s="24"/>
    </row>
    <row r="22" spans="1:7" ht="18" customHeight="1">
      <c r="A22" s="1439">
        <v>13</v>
      </c>
      <c r="B22" s="883" t="s">
        <v>1577</v>
      </c>
      <c r="C22" s="884"/>
      <c r="D22" s="885" t="s">
        <v>1576</v>
      </c>
      <c r="E22" s="462">
        <v>2.5</v>
      </c>
      <c r="F22" s="227"/>
      <c r="G22" s="227"/>
    </row>
    <row r="23" spans="1:12" ht="18" customHeight="1">
      <c r="A23" s="1450"/>
      <c r="B23" s="228" t="s">
        <v>56</v>
      </c>
      <c r="C23" s="226">
        <v>7130620609</v>
      </c>
      <c r="D23" s="885" t="s">
        <v>1576</v>
      </c>
      <c r="E23" s="227">
        <v>0.5</v>
      </c>
      <c r="F23" s="227">
        <f>VLOOKUP(C23,'SOR RATE'!A:D,4,0)</f>
        <v>63</v>
      </c>
      <c r="G23" s="227">
        <f>F23*E23</f>
        <v>31.5</v>
      </c>
      <c r="H23" s="24"/>
      <c r="I23" s="24"/>
      <c r="J23" s="24"/>
      <c r="K23" s="24"/>
      <c r="L23" s="24"/>
    </row>
    <row r="24" spans="1:12" ht="18" customHeight="1">
      <c r="A24" s="1450"/>
      <c r="B24" s="228" t="s">
        <v>2106</v>
      </c>
      <c r="C24" s="226">
        <v>7130620614</v>
      </c>
      <c r="D24" s="885" t="s">
        <v>1576</v>
      </c>
      <c r="E24" s="882">
        <v>1</v>
      </c>
      <c r="F24" s="227">
        <f>VLOOKUP(C24,'SOR RATE'!A:D,4,0)</f>
        <v>62</v>
      </c>
      <c r="G24" s="227">
        <f>F24*E24</f>
        <v>62</v>
      </c>
      <c r="H24" s="24"/>
      <c r="I24" s="24"/>
      <c r="J24" s="24"/>
      <c r="K24" s="24"/>
      <c r="L24" s="24"/>
    </row>
    <row r="25" spans="1:12" ht="18" customHeight="1">
      <c r="A25" s="1450"/>
      <c r="B25" s="228" t="s">
        <v>2107</v>
      </c>
      <c r="C25" s="226">
        <v>7130620619</v>
      </c>
      <c r="D25" s="885" t="s">
        <v>1576</v>
      </c>
      <c r="E25" s="227"/>
      <c r="F25" s="227">
        <f>VLOOKUP(C25,'SOR RATE'!A:D,4,0)</f>
        <v>62</v>
      </c>
      <c r="G25" s="227"/>
      <c r="H25" s="24"/>
      <c r="I25" s="24"/>
      <c r="K25" s="24"/>
      <c r="L25" s="24"/>
    </row>
    <row r="26" spans="1:12" ht="18" customHeight="1">
      <c r="A26" s="1450"/>
      <c r="B26" s="228" t="s">
        <v>2108</v>
      </c>
      <c r="C26" s="226">
        <v>7130620625</v>
      </c>
      <c r="D26" s="885" t="s">
        <v>1576</v>
      </c>
      <c r="E26" s="882">
        <f>10/10</f>
        <v>1</v>
      </c>
      <c r="F26" s="227">
        <f>VLOOKUP(C26,'SOR RATE'!A:D,4,0)</f>
        <v>61</v>
      </c>
      <c r="G26" s="227">
        <f>F26*E26</f>
        <v>61</v>
      </c>
      <c r="H26" s="24"/>
      <c r="I26" s="24"/>
      <c r="J26" s="24"/>
      <c r="K26" s="24"/>
      <c r="L26" s="24"/>
    </row>
    <row r="27" spans="1:12" ht="18" customHeight="1">
      <c r="A27" s="1440"/>
      <c r="B27" s="228" t="s">
        <v>2109</v>
      </c>
      <c r="C27" s="226">
        <v>7130620627</v>
      </c>
      <c r="D27" s="885" t="s">
        <v>1576</v>
      </c>
      <c r="E27" s="227"/>
      <c r="F27" s="227">
        <f>VLOOKUP(C27,'SOR RATE'!A:D,4,0)</f>
        <v>61</v>
      </c>
      <c r="G27" s="227"/>
      <c r="H27" s="24"/>
      <c r="I27" s="24"/>
      <c r="J27" s="24"/>
      <c r="K27" s="24"/>
      <c r="L27" s="24"/>
    </row>
    <row r="28" spans="1:12" ht="18" customHeight="1">
      <c r="A28" s="886">
        <v>14</v>
      </c>
      <c r="B28" s="858" t="s">
        <v>1052</v>
      </c>
      <c r="C28" s="887"/>
      <c r="D28" s="886"/>
      <c r="E28" s="229"/>
      <c r="F28" s="229"/>
      <c r="G28" s="229">
        <f>SUM(G8:G27)</f>
        <v>20962.5685</v>
      </c>
      <c r="H28" s="117"/>
      <c r="I28" s="25"/>
      <c r="J28" s="25"/>
      <c r="K28" s="25"/>
      <c r="L28" s="25"/>
    </row>
    <row r="29" spans="1:12" ht="18.75" customHeight="1">
      <c r="A29" s="880">
        <v>15</v>
      </c>
      <c r="B29" s="223" t="s">
        <v>51</v>
      </c>
      <c r="C29" s="888"/>
      <c r="D29" s="889"/>
      <c r="E29" s="889"/>
      <c r="F29" s="880">
        <v>0.09</v>
      </c>
      <c r="G29" s="890">
        <f>G28*F29</f>
        <v>1886.631165</v>
      </c>
      <c r="H29" s="195"/>
      <c r="I29" s="195"/>
      <c r="J29" s="24"/>
      <c r="K29" s="24"/>
      <c r="L29" s="24"/>
    </row>
    <row r="30" spans="1:12" ht="17.25" customHeight="1">
      <c r="A30" s="880">
        <v>16</v>
      </c>
      <c r="B30" s="891" t="s">
        <v>91</v>
      </c>
      <c r="C30" s="892"/>
      <c r="D30" s="881" t="s">
        <v>1571</v>
      </c>
      <c r="E30" s="227">
        <v>0.65</v>
      </c>
      <c r="F30" s="222">
        <f>1664*1.27*1.0891*1.086275*1.1112*1.0685*1.06217</f>
        <v>3153.010200829536</v>
      </c>
      <c r="G30" s="227">
        <f>F30*E30</f>
        <v>2049.4566305391986</v>
      </c>
      <c r="H30" s="24"/>
      <c r="I30" s="24"/>
      <c r="J30" s="24"/>
      <c r="K30" s="24"/>
      <c r="L30" s="24"/>
    </row>
    <row r="31" spans="1:12" ht="31.5" customHeight="1">
      <c r="A31" s="880">
        <v>17</v>
      </c>
      <c r="B31" s="891" t="s">
        <v>104</v>
      </c>
      <c r="C31" s="892"/>
      <c r="D31" s="893"/>
      <c r="E31" s="227"/>
      <c r="F31" s="227"/>
      <c r="G31" s="227">
        <v>2348.84</v>
      </c>
      <c r="H31" s="203"/>
      <c r="I31" s="198"/>
      <c r="J31" s="24"/>
      <c r="K31" s="24"/>
      <c r="L31" s="24"/>
    </row>
    <row r="32" spans="1:12" ht="45.75" customHeight="1">
      <c r="A32" s="880">
        <v>18</v>
      </c>
      <c r="B32" s="891" t="s">
        <v>1532</v>
      </c>
      <c r="C32" s="892"/>
      <c r="D32" s="885"/>
      <c r="E32" s="227"/>
      <c r="F32" s="227"/>
      <c r="G32" s="227">
        <f>1.1*1.1*7212/10*1.2*1.1*1.1797*1.1402*0.9368*0.87</f>
        <v>1262.7976654652148</v>
      </c>
      <c r="H32" s="24"/>
      <c r="I32" s="24"/>
      <c r="J32" s="24"/>
      <c r="K32" s="24"/>
      <c r="L32" s="24"/>
    </row>
    <row r="33" spans="1:12" ht="16.5" customHeight="1">
      <c r="A33" s="886">
        <v>19</v>
      </c>
      <c r="B33" s="858" t="s">
        <v>1053</v>
      </c>
      <c r="C33" s="892"/>
      <c r="D33" s="885"/>
      <c r="E33" s="227"/>
      <c r="F33" s="227"/>
      <c r="G33" s="229">
        <f>G28+G29+G30+G31+G32</f>
        <v>28510.293961004416</v>
      </c>
      <c r="H33" s="125"/>
      <c r="I33" s="24"/>
      <c r="J33" s="24"/>
      <c r="K33" s="24"/>
      <c r="L33" s="24"/>
    </row>
    <row r="34" spans="1:12" ht="30.75" customHeight="1">
      <c r="A34" s="880">
        <v>20</v>
      </c>
      <c r="B34" s="850" t="s">
        <v>1054</v>
      </c>
      <c r="C34" s="892"/>
      <c r="D34" s="885"/>
      <c r="E34" s="227"/>
      <c r="F34" s="227">
        <v>0.11</v>
      </c>
      <c r="G34" s="227">
        <f>G28*F34</f>
        <v>2305.882535</v>
      </c>
      <c r="H34" s="125"/>
      <c r="I34" s="24"/>
      <c r="J34" s="24"/>
      <c r="K34" s="24"/>
      <c r="L34" s="24"/>
    </row>
    <row r="35" spans="1:12" ht="30.75" customHeight="1">
      <c r="A35" s="886">
        <v>21</v>
      </c>
      <c r="B35" s="883" t="s">
        <v>1343</v>
      </c>
      <c r="C35" s="892"/>
      <c r="D35" s="885"/>
      <c r="E35" s="227"/>
      <c r="F35" s="227"/>
      <c r="G35" s="229">
        <f>G33+G34</f>
        <v>30816.176496004417</v>
      </c>
      <c r="H35" s="24"/>
      <c r="I35" s="24"/>
      <c r="J35" s="24"/>
      <c r="K35" s="24"/>
      <c r="L35" s="24"/>
    </row>
    <row r="36" spans="1:12" ht="18" customHeight="1">
      <c r="A36" s="894">
        <v>22</v>
      </c>
      <c r="B36" s="895" t="s">
        <v>4</v>
      </c>
      <c r="C36" s="896"/>
      <c r="D36" s="897"/>
      <c r="E36" s="898"/>
      <c r="F36" s="898"/>
      <c r="G36" s="229">
        <f>ROUND(G35,0)</f>
        <v>30816</v>
      </c>
      <c r="H36" s="24"/>
      <c r="I36" s="24"/>
      <c r="J36" s="24"/>
      <c r="K36" s="43"/>
      <c r="L36" s="24"/>
    </row>
    <row r="37" spans="1:12" ht="12.75">
      <c r="A37" s="26"/>
      <c r="B37" s="24"/>
      <c r="C37" s="25"/>
      <c r="D37" s="26"/>
      <c r="E37" s="27"/>
      <c r="F37" s="27"/>
      <c r="G37" s="27"/>
      <c r="H37" s="24"/>
      <c r="I37" s="24"/>
      <c r="J37" s="24"/>
      <c r="K37" s="43"/>
      <c r="L37" s="24"/>
    </row>
    <row r="51" spans="2:5" ht="16.5">
      <c r="B51" s="1448" t="s">
        <v>2134</v>
      </c>
      <c r="C51" s="1448"/>
      <c r="D51" s="1448"/>
      <c r="E51" s="1448"/>
    </row>
    <row r="53" spans="1:14" ht="33" customHeight="1">
      <c r="A53" s="226">
        <v>2</v>
      </c>
      <c r="B53" s="223" t="s">
        <v>1301</v>
      </c>
      <c r="C53" s="1322">
        <v>7130601072</v>
      </c>
      <c r="D53" s="461" t="s">
        <v>1576</v>
      </c>
      <c r="E53" s="1319"/>
      <c r="F53" s="1320"/>
      <c r="G53" s="1320"/>
      <c r="H53" s="144"/>
      <c r="I53" s="144"/>
      <c r="J53" s="144"/>
      <c r="K53" s="144"/>
      <c r="L53" s="144"/>
      <c r="M53" s="144"/>
      <c r="N53" s="144"/>
    </row>
    <row r="54" spans="1:7" ht="14.25">
      <c r="A54" s="1439">
        <v>4</v>
      </c>
      <c r="B54" s="228" t="s">
        <v>1307</v>
      </c>
      <c r="C54" s="566"/>
      <c r="D54" s="884"/>
      <c r="E54" s="1321"/>
      <c r="F54" s="1321"/>
      <c r="G54" s="1321"/>
    </row>
    <row r="55" spans="1:7" ht="14.25">
      <c r="A55" s="1442"/>
      <c r="B55" s="223" t="s">
        <v>2116</v>
      </c>
      <c r="C55" s="1322">
        <v>7130810201</v>
      </c>
      <c r="D55" s="461" t="s">
        <v>83</v>
      </c>
      <c r="E55" s="1320"/>
      <c r="F55" s="1320"/>
      <c r="G55" s="1320"/>
    </row>
    <row r="56" spans="1:7" ht="14.25">
      <c r="A56" s="1449"/>
      <c r="B56" s="223" t="s">
        <v>2117</v>
      </c>
      <c r="C56" s="1322">
        <v>7130810251</v>
      </c>
      <c r="D56" s="461" t="s">
        <v>83</v>
      </c>
      <c r="E56" s="1320"/>
      <c r="F56" s="1320"/>
      <c r="G56" s="1320"/>
    </row>
  </sheetData>
  <sheetProtection/>
  <mergeCells count="14">
    <mergeCell ref="B51:E51"/>
    <mergeCell ref="A54:A56"/>
    <mergeCell ref="A22:A27"/>
    <mergeCell ref="H19:I19"/>
    <mergeCell ref="B1:C1"/>
    <mergeCell ref="A15:A16"/>
    <mergeCell ref="A5:A6"/>
    <mergeCell ref="B5:B6"/>
    <mergeCell ref="A10:A11"/>
    <mergeCell ref="C5:C6"/>
    <mergeCell ref="B3:G3"/>
    <mergeCell ref="D5:D6"/>
    <mergeCell ref="E5:G5"/>
    <mergeCell ref="F2:G2"/>
  </mergeCells>
  <printOptions/>
  <pageMargins left="0.96" right="0.17" top="0.52" bottom="0.35" header="0.32" footer="0.16"/>
  <pageSetup horizontalDpi="600" verticalDpi="600" orientation="landscape" scale="125" r:id="rId1"/>
</worksheet>
</file>

<file path=xl/worksheets/sheet9.xml><?xml version="1.0" encoding="utf-8"?>
<worksheet xmlns="http://schemas.openxmlformats.org/spreadsheetml/2006/main" xmlns:r="http://schemas.openxmlformats.org/officeDocument/2006/relationships">
  <sheetPr>
    <tabColor indexed="15"/>
  </sheetPr>
  <dimension ref="A1:K77"/>
  <sheetViews>
    <sheetView zoomScale="115" zoomScaleNormal="115" zoomScalePageLayoutView="0" workbookViewId="0" topLeftCell="A1">
      <pane xSplit="2" ySplit="8" topLeftCell="C72" activePane="bottomRight" state="frozen"/>
      <selection pane="topLeft" activeCell="A1" sqref="A1"/>
      <selection pane="topRight" activeCell="C1" sqref="C1"/>
      <selection pane="bottomLeft" activeCell="A9" sqref="A9"/>
      <selection pane="bottomRight" activeCell="J69" sqref="J69"/>
    </sheetView>
  </sheetViews>
  <sheetFormatPr defaultColWidth="9.140625" defaultRowHeight="12.75"/>
  <cols>
    <col min="1" max="1" width="4.421875" style="79" customWidth="1"/>
    <col min="2" max="2" width="50.421875" style="2" customWidth="1"/>
    <col min="3" max="3" width="12.28125" style="79" customWidth="1"/>
    <col min="4" max="4" width="6.00390625" style="2" customWidth="1"/>
    <col min="5" max="5" width="5.7109375" style="2" customWidth="1"/>
    <col min="6" max="6" width="9.8515625" style="2" customWidth="1"/>
    <col min="7" max="7" width="12.28125" style="2" customWidth="1"/>
    <col min="8" max="8" width="9.140625" style="2" customWidth="1"/>
    <col min="9" max="9" width="10.7109375" style="2" customWidth="1"/>
    <col min="10" max="10" width="16.140625" style="2" customWidth="1"/>
    <col min="11" max="16384" width="9.140625" style="2" customWidth="1"/>
  </cols>
  <sheetData>
    <row r="1" spans="2:7" ht="19.5" customHeight="1">
      <c r="B1" s="1459" t="s">
        <v>1260</v>
      </c>
      <c r="C1" s="1459"/>
      <c r="D1" s="1459"/>
      <c r="E1" s="483"/>
      <c r="F1" s="483"/>
      <c r="G1" s="483"/>
    </row>
    <row r="2" spans="2:7" ht="10.5" customHeight="1">
      <c r="B2" s="20"/>
      <c r="C2" s="21"/>
      <c r="D2" s="21"/>
      <c r="E2" s="21"/>
      <c r="F2" s="21"/>
      <c r="G2" s="20"/>
    </row>
    <row r="3" spans="2:11" ht="33.75" customHeight="1">
      <c r="B3" s="1415" t="s">
        <v>898</v>
      </c>
      <c r="C3" s="1415"/>
      <c r="D3" s="1415"/>
      <c r="E3" s="1415"/>
      <c r="F3" s="1415"/>
      <c r="G3" s="1415"/>
      <c r="K3" s="145"/>
    </row>
    <row r="4" spans="1:11" ht="8.25" customHeight="1">
      <c r="A4" s="77"/>
      <c r="B4" s="77"/>
      <c r="C4" s="77"/>
      <c r="D4" s="77"/>
      <c r="E4" s="77"/>
      <c r="F4" s="77"/>
      <c r="G4" s="77"/>
      <c r="K4" s="145"/>
    </row>
    <row r="5" spans="1:7" ht="15">
      <c r="A5" s="22"/>
      <c r="B5" s="22"/>
      <c r="C5" s="22"/>
      <c r="D5" s="22"/>
      <c r="E5" s="22"/>
      <c r="F5" s="1454" t="s">
        <v>244</v>
      </c>
      <c r="G5" s="1454"/>
    </row>
    <row r="6" spans="1:7" ht="31.5" customHeight="1">
      <c r="A6" s="1455" t="s">
        <v>2285</v>
      </c>
      <c r="B6" s="1455" t="s">
        <v>2284</v>
      </c>
      <c r="C6" s="1455" t="s">
        <v>595</v>
      </c>
      <c r="D6" s="1455" t="s">
        <v>596</v>
      </c>
      <c r="E6" s="1453" t="s">
        <v>1162</v>
      </c>
      <c r="F6" s="1453"/>
      <c r="G6" s="1453"/>
    </row>
    <row r="7" spans="1:7" ht="15" customHeight="1">
      <c r="A7" s="1456"/>
      <c r="B7" s="1456"/>
      <c r="C7" s="1456"/>
      <c r="D7" s="1456"/>
      <c r="E7" s="229" t="s">
        <v>86</v>
      </c>
      <c r="F7" s="229" t="s">
        <v>1326</v>
      </c>
      <c r="G7" s="229" t="s">
        <v>2047</v>
      </c>
    </row>
    <row r="8" spans="1:7" ht="12.75">
      <c r="A8" s="373">
        <v>1</v>
      </c>
      <c r="B8" s="373">
        <v>2</v>
      </c>
      <c r="C8" s="243">
        <v>3</v>
      </c>
      <c r="D8" s="243">
        <v>4</v>
      </c>
      <c r="E8" s="243">
        <v>5</v>
      </c>
      <c r="F8" s="237">
        <v>6</v>
      </c>
      <c r="G8" s="243">
        <v>7</v>
      </c>
    </row>
    <row r="9" spans="1:8" ht="27.75" customHeight="1">
      <c r="A9" s="234">
        <v>1</v>
      </c>
      <c r="B9" s="231" t="s">
        <v>286</v>
      </c>
      <c r="C9" s="899">
        <v>7130601958</v>
      </c>
      <c r="D9" s="232" t="s">
        <v>1576</v>
      </c>
      <c r="E9" s="232" t="s">
        <v>1345</v>
      </c>
      <c r="F9" s="463">
        <f>VLOOKUP(C9,'SOR RATE'!A:D,4,0)/1000</f>
        <v>32.575</v>
      </c>
      <c r="G9" s="464">
        <f aca="true" t="shared" si="0" ref="G9:G45">E9*F9</f>
        <v>314218.45</v>
      </c>
      <c r="H9" s="42"/>
    </row>
    <row r="10" spans="1:7" ht="15" customHeight="1">
      <c r="A10" s="234">
        <v>2</v>
      </c>
      <c r="B10" s="900" t="s">
        <v>459</v>
      </c>
      <c r="C10" s="899">
        <v>7130810512</v>
      </c>
      <c r="D10" s="234" t="s">
        <v>1331</v>
      </c>
      <c r="E10" s="234">
        <v>30</v>
      </c>
      <c r="F10" s="463">
        <f>VLOOKUP(C10,'SOR RATE'!A:D,4,0)</f>
        <v>3256.41</v>
      </c>
      <c r="G10" s="464">
        <f t="shared" si="0"/>
        <v>97692.29999999999</v>
      </c>
    </row>
    <row r="11" spans="1:7" ht="27" customHeight="1">
      <c r="A11" s="234">
        <v>3</v>
      </c>
      <c r="B11" s="233" t="s">
        <v>1738</v>
      </c>
      <c r="C11" s="899">
        <v>7130820312</v>
      </c>
      <c r="D11" s="234" t="s">
        <v>1330</v>
      </c>
      <c r="E11" s="234">
        <v>60</v>
      </c>
      <c r="F11" s="463">
        <f>VLOOKUP(C11,'SOR RATE'!A:D,4,0)</f>
        <v>2065</v>
      </c>
      <c r="G11" s="464">
        <f t="shared" si="0"/>
        <v>123900</v>
      </c>
    </row>
    <row r="12" spans="1:10" ht="16.5" customHeight="1">
      <c r="A12" s="234">
        <v>4</v>
      </c>
      <c r="B12" s="901" t="s">
        <v>2140</v>
      </c>
      <c r="C12" s="235">
        <v>7130820011</v>
      </c>
      <c r="D12" s="234" t="s">
        <v>1331</v>
      </c>
      <c r="E12" s="234">
        <v>180</v>
      </c>
      <c r="F12" s="463">
        <f>VLOOKUP(C12,'SOR RATE'!A:D,4,0)</f>
        <v>307</v>
      </c>
      <c r="G12" s="464">
        <f t="shared" si="0"/>
        <v>55260</v>
      </c>
      <c r="I12" s="521"/>
      <c r="J12" s="521"/>
    </row>
    <row r="13" spans="1:7" ht="17.25" customHeight="1">
      <c r="A13" s="234">
        <v>5</v>
      </c>
      <c r="B13" s="902" t="s">
        <v>1332</v>
      </c>
      <c r="C13" s="899">
        <v>7130870013</v>
      </c>
      <c r="D13" s="234" t="s">
        <v>1329</v>
      </c>
      <c r="E13" s="234">
        <v>20</v>
      </c>
      <c r="F13" s="463">
        <f>VLOOKUP(C13,'SOR RATE'!A:D,4,0)</f>
        <v>97</v>
      </c>
      <c r="G13" s="464">
        <f t="shared" si="0"/>
        <v>1940</v>
      </c>
    </row>
    <row r="14" spans="1:7" ht="15" customHeight="1">
      <c r="A14" s="234">
        <v>6</v>
      </c>
      <c r="B14" s="900" t="s">
        <v>1712</v>
      </c>
      <c r="C14" s="899">
        <v>7130830070</v>
      </c>
      <c r="D14" s="234" t="s">
        <v>1333</v>
      </c>
      <c r="E14" s="234">
        <v>3150</v>
      </c>
      <c r="F14" s="463">
        <f>VLOOKUP(C14,'SOR RATE'!A:D,4,0)/1000</f>
        <v>131.574</v>
      </c>
      <c r="G14" s="464">
        <f t="shared" si="0"/>
        <v>414458.10000000003</v>
      </c>
    </row>
    <row r="15" spans="1:7" ht="16.5" customHeight="1">
      <c r="A15" s="234">
        <v>7</v>
      </c>
      <c r="B15" s="902" t="s">
        <v>1713</v>
      </c>
      <c r="C15" s="899">
        <v>7130830971</v>
      </c>
      <c r="D15" s="234" t="s">
        <v>1331</v>
      </c>
      <c r="E15" s="234">
        <v>6</v>
      </c>
      <c r="F15" s="463">
        <f>VLOOKUP(C15,'SOR RATE'!A:D,4,0)</f>
        <v>182</v>
      </c>
      <c r="G15" s="464">
        <f t="shared" si="0"/>
        <v>1092</v>
      </c>
    </row>
    <row r="16" spans="1:7" ht="16.5" customHeight="1">
      <c r="A16" s="234">
        <v>8</v>
      </c>
      <c r="B16" s="233" t="s">
        <v>1334</v>
      </c>
      <c r="C16" s="899">
        <v>7130860033</v>
      </c>
      <c r="D16" s="234" t="s">
        <v>1335</v>
      </c>
      <c r="E16" s="234">
        <v>12</v>
      </c>
      <c r="F16" s="463">
        <f>VLOOKUP(C16,'SOR RATE'!A:D,4,0)</f>
        <v>629</v>
      </c>
      <c r="G16" s="464">
        <f t="shared" si="0"/>
        <v>7548</v>
      </c>
    </row>
    <row r="17" spans="1:7" ht="16.5" customHeight="1">
      <c r="A17" s="234">
        <v>9</v>
      </c>
      <c r="B17" s="231" t="s">
        <v>287</v>
      </c>
      <c r="C17" s="235">
        <v>7130810692</v>
      </c>
      <c r="D17" s="234" t="s">
        <v>1331</v>
      </c>
      <c r="E17" s="234">
        <v>100</v>
      </c>
      <c r="F17" s="463">
        <f>VLOOKUP(C17,'SOR RATE'!A:D,4,0)</f>
        <v>249.66</v>
      </c>
      <c r="G17" s="464">
        <f t="shared" si="0"/>
        <v>24966</v>
      </c>
    </row>
    <row r="18" spans="1:7" ht="16.5" customHeight="1">
      <c r="A18" s="234">
        <v>10</v>
      </c>
      <c r="B18" s="900" t="s">
        <v>789</v>
      </c>
      <c r="C18" s="899">
        <v>7130860076</v>
      </c>
      <c r="D18" s="234" t="s">
        <v>1328</v>
      </c>
      <c r="E18" s="234">
        <v>170</v>
      </c>
      <c r="F18" s="463">
        <f>VLOOKUP(C18,'SOR RATE'!A:D,4,0)/1000</f>
        <v>58.65</v>
      </c>
      <c r="G18" s="464">
        <f t="shared" si="0"/>
        <v>9970.5</v>
      </c>
    </row>
    <row r="19" spans="1:7" ht="29.25" customHeight="1">
      <c r="A19" s="1457">
        <v>11</v>
      </c>
      <c r="B19" s="233" t="s">
        <v>2138</v>
      </c>
      <c r="C19" s="899"/>
      <c r="D19" s="234" t="s">
        <v>1336</v>
      </c>
      <c r="E19" s="234">
        <f>(0.65*20)+(0.3*14)</f>
        <v>17.2</v>
      </c>
      <c r="F19" s="464"/>
      <c r="G19" s="464"/>
    </row>
    <row r="20" spans="1:7" ht="12.75">
      <c r="A20" s="1458"/>
      <c r="B20" s="904" t="s">
        <v>2113</v>
      </c>
      <c r="C20" s="899">
        <v>7130200401</v>
      </c>
      <c r="D20" s="234" t="s">
        <v>1328</v>
      </c>
      <c r="E20" s="899">
        <f>208*17.2</f>
        <v>3577.6</v>
      </c>
      <c r="F20" s="463">
        <f>VLOOKUP(C20,'SOR RATE'!A:D,4,0)/50</f>
        <v>4.9</v>
      </c>
      <c r="G20" s="464">
        <f>E20*F20</f>
        <v>17530.24</v>
      </c>
    </row>
    <row r="21" spans="1:7" ht="14.25" customHeight="1">
      <c r="A21" s="230">
        <v>12</v>
      </c>
      <c r="B21" s="233" t="s">
        <v>1572</v>
      </c>
      <c r="C21" s="899">
        <v>7130211158</v>
      </c>
      <c r="D21" s="234" t="s">
        <v>1338</v>
      </c>
      <c r="E21" s="234">
        <v>26</v>
      </c>
      <c r="F21" s="463">
        <f>VLOOKUP(C21,'SOR RATE'!A:D,4,0)</f>
        <v>133</v>
      </c>
      <c r="G21" s="464">
        <f t="shared" si="0"/>
        <v>3458</v>
      </c>
    </row>
    <row r="22" spans="1:7" ht="12.75" customHeight="1">
      <c r="A22" s="230">
        <v>13</v>
      </c>
      <c r="B22" s="233" t="s">
        <v>1574</v>
      </c>
      <c r="C22" s="899">
        <v>7130210809</v>
      </c>
      <c r="D22" s="234" t="s">
        <v>1338</v>
      </c>
      <c r="E22" s="234">
        <v>26</v>
      </c>
      <c r="F22" s="463">
        <f>VLOOKUP(C22,'SOR RATE'!A:D,4,0)</f>
        <v>297</v>
      </c>
      <c r="G22" s="464">
        <f t="shared" si="0"/>
        <v>7722</v>
      </c>
    </row>
    <row r="23" spans="1:9" ht="14.25" customHeight="1">
      <c r="A23" s="230">
        <v>14</v>
      </c>
      <c r="B23" s="231" t="s">
        <v>1438</v>
      </c>
      <c r="C23" s="235">
        <v>7130610206</v>
      </c>
      <c r="D23" s="234" t="s">
        <v>1328</v>
      </c>
      <c r="E23" s="234">
        <v>40</v>
      </c>
      <c r="F23" s="463">
        <f>VLOOKUP(C23,'SOR RATE'!A:D,4,0)/1000</f>
        <v>63.963</v>
      </c>
      <c r="G23" s="464">
        <f t="shared" si="0"/>
        <v>2558.52</v>
      </c>
      <c r="H23" s="1451" t="s">
        <v>2141</v>
      </c>
      <c r="I23" s="1452"/>
    </row>
    <row r="24" spans="1:7" ht="15" customHeight="1">
      <c r="A24" s="230">
        <v>15</v>
      </c>
      <c r="B24" s="233" t="s">
        <v>1575</v>
      </c>
      <c r="C24" s="899">
        <v>7130880041</v>
      </c>
      <c r="D24" s="234" t="s">
        <v>1331</v>
      </c>
      <c r="E24" s="234">
        <v>20</v>
      </c>
      <c r="F24" s="463">
        <f>VLOOKUP(C24,'SOR RATE'!A:D,4,0)</f>
        <v>62</v>
      </c>
      <c r="G24" s="464">
        <f t="shared" si="0"/>
        <v>1240</v>
      </c>
    </row>
    <row r="25" spans="1:7" ht="16.5" customHeight="1">
      <c r="A25" s="234">
        <v>16</v>
      </c>
      <c r="B25" s="900" t="s">
        <v>1714</v>
      </c>
      <c r="C25" s="899">
        <v>7130830006</v>
      </c>
      <c r="D25" s="234" t="s">
        <v>1328</v>
      </c>
      <c r="E25" s="234">
        <v>8</v>
      </c>
      <c r="F25" s="463">
        <f>VLOOKUP(C25,'SOR RATE'!A:D,4,0)</f>
        <v>130</v>
      </c>
      <c r="G25" s="464">
        <f t="shared" si="0"/>
        <v>1040</v>
      </c>
    </row>
    <row r="26" spans="1:7" ht="15" customHeight="1">
      <c r="A26" s="1457">
        <v>17</v>
      </c>
      <c r="B26" s="233" t="s">
        <v>54</v>
      </c>
      <c r="C26" s="899"/>
      <c r="D26" s="234" t="s">
        <v>1328</v>
      </c>
      <c r="E26" s="234">
        <v>123</v>
      </c>
      <c r="F26" s="464"/>
      <c r="G26" s="464"/>
    </row>
    <row r="27" spans="1:7" ht="15" customHeight="1">
      <c r="A27" s="1465"/>
      <c r="B27" s="233" t="s">
        <v>56</v>
      </c>
      <c r="C27" s="899">
        <v>7130620609</v>
      </c>
      <c r="D27" s="234" t="s">
        <v>1328</v>
      </c>
      <c r="E27" s="234">
        <v>2</v>
      </c>
      <c r="F27" s="463">
        <f>VLOOKUP(C27,'SOR RATE'!A:D,4,0)</f>
        <v>63</v>
      </c>
      <c r="G27" s="464">
        <f t="shared" si="0"/>
        <v>126</v>
      </c>
    </row>
    <row r="28" spans="1:7" ht="15" customHeight="1">
      <c r="A28" s="1465"/>
      <c r="B28" s="233" t="s">
        <v>57</v>
      </c>
      <c r="C28" s="899">
        <v>7130620614</v>
      </c>
      <c r="D28" s="234" t="s">
        <v>1328</v>
      </c>
      <c r="E28" s="234">
        <v>30</v>
      </c>
      <c r="F28" s="463">
        <f>VLOOKUP(C28,'SOR RATE'!A:D,4,0)</f>
        <v>62</v>
      </c>
      <c r="G28" s="464">
        <f t="shared" si="0"/>
        <v>1860</v>
      </c>
    </row>
    <row r="29" spans="1:7" ht="15" customHeight="1">
      <c r="A29" s="1465"/>
      <c r="B29" s="233" t="s">
        <v>58</v>
      </c>
      <c r="C29" s="899">
        <v>7130620619</v>
      </c>
      <c r="D29" s="234" t="s">
        <v>1328</v>
      </c>
      <c r="E29" s="234">
        <v>20</v>
      </c>
      <c r="F29" s="463">
        <f>VLOOKUP(C29,'SOR RATE'!A:D,4,0)</f>
        <v>62</v>
      </c>
      <c r="G29" s="464">
        <f t="shared" si="0"/>
        <v>1240</v>
      </c>
    </row>
    <row r="30" spans="1:7" ht="15" customHeight="1">
      <c r="A30" s="1465"/>
      <c r="B30" s="233" t="s">
        <v>59</v>
      </c>
      <c r="C30" s="899">
        <v>7130620625</v>
      </c>
      <c r="D30" s="234" t="s">
        <v>1328</v>
      </c>
      <c r="E30" s="234"/>
      <c r="F30" s="463">
        <f>VLOOKUP(C30,'SOR RATE'!A:D,4,0)</f>
        <v>61</v>
      </c>
      <c r="G30" s="464"/>
    </row>
    <row r="31" spans="1:7" ht="15" customHeight="1">
      <c r="A31" s="1465"/>
      <c r="B31" s="233" t="s">
        <v>60</v>
      </c>
      <c r="C31" s="899">
        <v>7130620627</v>
      </c>
      <c r="D31" s="234" t="s">
        <v>1328</v>
      </c>
      <c r="E31" s="234">
        <v>1</v>
      </c>
      <c r="F31" s="463">
        <f>VLOOKUP(C31,'SOR RATE'!A:D,4,0)</f>
        <v>61</v>
      </c>
      <c r="G31" s="464">
        <f t="shared" si="0"/>
        <v>61</v>
      </c>
    </row>
    <row r="32" spans="1:7" ht="15" customHeight="1">
      <c r="A32" s="1465"/>
      <c r="B32" s="233" t="s">
        <v>61</v>
      </c>
      <c r="C32" s="899">
        <v>7130620631</v>
      </c>
      <c r="D32" s="234" t="s">
        <v>1328</v>
      </c>
      <c r="E32" s="234"/>
      <c r="F32" s="463">
        <f>VLOOKUP(C32,'SOR RATE'!A:D,4,0)</f>
        <v>61</v>
      </c>
      <c r="G32" s="464"/>
    </row>
    <row r="33" spans="1:7" ht="15" customHeight="1">
      <c r="A33" s="1458"/>
      <c r="B33" s="233" t="s">
        <v>62</v>
      </c>
      <c r="C33" s="899">
        <v>7130620637</v>
      </c>
      <c r="D33" s="234" t="s">
        <v>1328</v>
      </c>
      <c r="E33" s="234">
        <v>70</v>
      </c>
      <c r="F33" s="463">
        <f>VLOOKUP(C33,'SOR RATE'!A:D,4,0)</f>
        <v>61</v>
      </c>
      <c r="G33" s="464">
        <f t="shared" si="0"/>
        <v>4270</v>
      </c>
    </row>
    <row r="34" spans="1:7" ht="15" customHeight="1">
      <c r="A34" s="234">
        <v>18</v>
      </c>
      <c r="B34" s="900" t="s">
        <v>63</v>
      </c>
      <c r="C34" s="899">
        <v>7130600032</v>
      </c>
      <c r="D34" s="234" t="s">
        <v>1328</v>
      </c>
      <c r="E34" s="234">
        <v>435</v>
      </c>
      <c r="F34" s="463">
        <f>VLOOKUP(C34,'SOR RATE'!A:D,4,0)/1000</f>
        <v>33.236</v>
      </c>
      <c r="G34" s="464">
        <f t="shared" si="0"/>
        <v>14457.659999999998</v>
      </c>
    </row>
    <row r="35" spans="1:7" ht="13.5" customHeight="1">
      <c r="A35" s="230">
        <v>19</v>
      </c>
      <c r="B35" s="233" t="s">
        <v>1695</v>
      </c>
      <c r="C35" s="899">
        <v>7130810624</v>
      </c>
      <c r="D35" s="234" t="s">
        <v>1331</v>
      </c>
      <c r="E35" s="234">
        <v>120</v>
      </c>
      <c r="F35" s="463">
        <f>VLOOKUP(C35,'SOR RATE'!A:D,4,0)</f>
        <v>75</v>
      </c>
      <c r="G35" s="464">
        <f t="shared" si="0"/>
        <v>9000</v>
      </c>
    </row>
    <row r="36" spans="1:7" ht="14.25" customHeight="1">
      <c r="A36" s="1462">
        <v>20</v>
      </c>
      <c r="B36" s="236" t="s">
        <v>1264</v>
      </c>
      <c r="C36" s="465"/>
      <c r="D36" s="466"/>
      <c r="E36" s="466"/>
      <c r="F36" s="466"/>
      <c r="G36" s="467"/>
    </row>
    <row r="37" spans="1:7" ht="13.5" customHeight="1">
      <c r="A37" s="1463"/>
      <c r="B37" s="233" t="s">
        <v>1262</v>
      </c>
      <c r="C37" s="899">
        <v>7130870045</v>
      </c>
      <c r="D37" s="234" t="s">
        <v>1328</v>
      </c>
      <c r="E37" s="234">
        <v>40</v>
      </c>
      <c r="F37" s="463">
        <f>VLOOKUP(C37,'SOR RATE'!A:D,4,0)/1000</f>
        <v>52.969</v>
      </c>
      <c r="G37" s="464">
        <f t="shared" si="0"/>
        <v>2118.76</v>
      </c>
    </row>
    <row r="38" spans="1:7" ht="14.25" customHeight="1">
      <c r="A38" s="1463"/>
      <c r="B38" s="233" t="s">
        <v>1263</v>
      </c>
      <c r="C38" s="899">
        <v>7130870043</v>
      </c>
      <c r="D38" s="234" t="s">
        <v>1328</v>
      </c>
      <c r="E38" s="234">
        <v>20</v>
      </c>
      <c r="F38" s="463">
        <f>VLOOKUP(C38,'SOR RATE'!A:D,4,0)/1000</f>
        <v>52.969</v>
      </c>
      <c r="G38" s="464">
        <f t="shared" si="0"/>
        <v>1059.38</v>
      </c>
    </row>
    <row r="39" spans="1:7" ht="14.25" customHeight="1">
      <c r="A39" s="1463"/>
      <c r="B39" s="233" t="s">
        <v>460</v>
      </c>
      <c r="C39" s="899">
        <v>7130897759</v>
      </c>
      <c r="D39" s="234" t="s">
        <v>1331</v>
      </c>
      <c r="E39" s="234">
        <v>2</v>
      </c>
      <c r="F39" s="463">
        <f>VLOOKUP(C39,'SOR RATE'!A:D,4,0)</f>
        <v>2739.85</v>
      </c>
      <c r="G39" s="464">
        <f t="shared" si="0"/>
        <v>5479.7</v>
      </c>
    </row>
    <row r="40" spans="1:7" ht="13.5" customHeight="1">
      <c r="A40" s="1463"/>
      <c r="B40" s="233" t="s">
        <v>90</v>
      </c>
      <c r="C40" s="899">
        <v>7130620637</v>
      </c>
      <c r="D40" s="234" t="s">
        <v>1328</v>
      </c>
      <c r="E40" s="234">
        <v>5</v>
      </c>
      <c r="F40" s="463">
        <f>VLOOKUP(C40,'SOR RATE'!A:D,4,0)</f>
        <v>61</v>
      </c>
      <c r="G40" s="464">
        <f>E40*F40</f>
        <v>305</v>
      </c>
    </row>
    <row r="41" spans="1:7" ht="14.25" customHeight="1">
      <c r="A41" s="1463"/>
      <c r="B41" s="233" t="s">
        <v>2184</v>
      </c>
      <c r="C41" s="79">
        <v>7130620013</v>
      </c>
      <c r="D41" s="234" t="s">
        <v>83</v>
      </c>
      <c r="E41" s="234">
        <v>4</v>
      </c>
      <c r="F41" s="463">
        <f>VLOOKUP(C41,'SOR RATE'!A:D,4,0)</f>
        <v>116.46</v>
      </c>
      <c r="G41" s="464">
        <f t="shared" si="0"/>
        <v>465.84</v>
      </c>
    </row>
    <row r="42" spans="1:7" ht="15" customHeight="1">
      <c r="A42" s="1463"/>
      <c r="B42" s="233" t="s">
        <v>65</v>
      </c>
      <c r="C42" s="234">
        <v>7130860033</v>
      </c>
      <c r="D42" s="234" t="s">
        <v>83</v>
      </c>
      <c r="E42" s="234">
        <v>2</v>
      </c>
      <c r="F42" s="463">
        <f>VLOOKUP(C42,'SOR RATE'!A:D,4,0)</f>
        <v>629</v>
      </c>
      <c r="G42" s="464">
        <f t="shared" si="0"/>
        <v>1258</v>
      </c>
    </row>
    <row r="43" spans="1:7" ht="13.5" customHeight="1">
      <c r="A43" s="1463"/>
      <c r="B43" s="233" t="s">
        <v>1261</v>
      </c>
      <c r="C43" s="899">
        <v>7130860076</v>
      </c>
      <c r="D43" s="234" t="s">
        <v>1328</v>
      </c>
      <c r="E43" s="234">
        <v>17</v>
      </c>
      <c r="F43" s="463">
        <f>VLOOKUP(C43,'SOR RATE'!A:D,4,0)/1000</f>
        <v>58.65</v>
      </c>
      <c r="G43" s="464">
        <f t="shared" si="0"/>
        <v>997.05</v>
      </c>
    </row>
    <row r="44" spans="1:7" ht="13.5" customHeight="1">
      <c r="A44" s="1463"/>
      <c r="B44" s="233" t="s">
        <v>288</v>
      </c>
      <c r="C44" s="235">
        <v>7130810692</v>
      </c>
      <c r="D44" s="234" t="s">
        <v>1331</v>
      </c>
      <c r="E44" s="234">
        <v>2</v>
      </c>
      <c r="F44" s="463">
        <f>VLOOKUP(C44,'SOR RATE'!A:D,4,0)</f>
        <v>249.66</v>
      </c>
      <c r="G44" s="464">
        <f>E44*F44</f>
        <v>499.32</v>
      </c>
    </row>
    <row r="45" spans="1:7" ht="14.25" customHeight="1">
      <c r="A45" s="1464"/>
      <c r="B45" s="233" t="s">
        <v>2139</v>
      </c>
      <c r="C45" s="899">
        <v>7130620619</v>
      </c>
      <c r="D45" s="234" t="s">
        <v>1328</v>
      </c>
      <c r="E45" s="234">
        <v>1</v>
      </c>
      <c r="F45" s="463">
        <f>VLOOKUP(C45,'SOR RATE'!A:D,4,0)</f>
        <v>62</v>
      </c>
      <c r="G45" s="464">
        <f t="shared" si="0"/>
        <v>62</v>
      </c>
    </row>
    <row r="46" spans="1:7" ht="12.75">
      <c r="A46" s="146">
        <v>21</v>
      </c>
      <c r="B46" s="905" t="s">
        <v>1052</v>
      </c>
      <c r="C46" s="899"/>
      <c r="D46" s="234"/>
      <c r="E46" s="234"/>
      <c r="F46" s="464"/>
      <c r="G46" s="906">
        <f>SUM(G9:G45)</f>
        <v>1127853.82</v>
      </c>
    </row>
    <row r="47" spans="1:7" ht="12.75">
      <c r="A47" s="903">
        <v>22</v>
      </c>
      <c r="B47" s="231" t="s">
        <v>1051</v>
      </c>
      <c r="C47" s="465"/>
      <c r="D47" s="466"/>
      <c r="E47" s="466"/>
      <c r="F47" s="464">
        <v>0.09</v>
      </c>
      <c r="G47" s="464">
        <f>G46*F47</f>
        <v>101506.8438</v>
      </c>
    </row>
    <row r="48" spans="1:7" ht="16.5" customHeight="1">
      <c r="A48" s="234">
        <v>23</v>
      </c>
      <c r="B48" s="902" t="s">
        <v>2198</v>
      </c>
      <c r="C48" s="899"/>
      <c r="D48" s="234" t="s">
        <v>1571</v>
      </c>
      <c r="E48" s="234">
        <v>17.2</v>
      </c>
      <c r="F48" s="907">
        <f>1664*1.27*1.0891*1.086275*1.1112*1.0685*1.06217</f>
        <v>3153.010200829536</v>
      </c>
      <c r="G48" s="464">
        <f>E48*F48</f>
        <v>54231.77545426802</v>
      </c>
    </row>
    <row r="49" spans="1:7" ht="15" customHeight="1">
      <c r="A49" s="234">
        <v>24</v>
      </c>
      <c r="B49" s="902" t="s">
        <v>2286</v>
      </c>
      <c r="C49" s="899"/>
      <c r="D49" s="234" t="s">
        <v>66</v>
      </c>
      <c r="E49" s="234">
        <v>1</v>
      </c>
      <c r="F49" s="464"/>
      <c r="G49" s="464">
        <v>111121.81</v>
      </c>
    </row>
    <row r="50" spans="1:7" ht="29.25" customHeight="1">
      <c r="A50" s="234">
        <v>25</v>
      </c>
      <c r="B50" s="233" t="s">
        <v>461</v>
      </c>
      <c r="C50" s="899"/>
      <c r="D50" s="234" t="s">
        <v>64</v>
      </c>
      <c r="E50" s="234" t="s">
        <v>64</v>
      </c>
      <c r="F50" s="464"/>
      <c r="G50" s="464">
        <f>1.1*15000*1.2*1.1*1.1797*1.1402*0.9368*0.87</f>
        <v>23876.82773909421</v>
      </c>
    </row>
    <row r="51" spans="1:7" ht="12.75">
      <c r="A51" s="146">
        <v>26</v>
      </c>
      <c r="B51" s="905" t="s">
        <v>1053</v>
      </c>
      <c r="C51" s="899"/>
      <c r="D51" s="234"/>
      <c r="E51" s="234"/>
      <c r="F51" s="464"/>
      <c r="G51" s="906">
        <f>G46+G47+G48+G49+G50</f>
        <v>1418591.0769933623</v>
      </c>
    </row>
    <row r="52" spans="1:7" ht="29.25" customHeight="1">
      <c r="A52" s="234">
        <v>27</v>
      </c>
      <c r="B52" s="231" t="s">
        <v>1054</v>
      </c>
      <c r="C52" s="899"/>
      <c r="D52" s="234"/>
      <c r="E52" s="234"/>
      <c r="F52" s="464">
        <v>0.11</v>
      </c>
      <c r="G52" s="464">
        <f>G46*F52</f>
        <v>124063.92020000001</v>
      </c>
    </row>
    <row r="53" spans="1:7" ht="14.25" customHeight="1">
      <c r="A53" s="234">
        <v>28</v>
      </c>
      <c r="B53" s="233" t="s">
        <v>67</v>
      </c>
      <c r="C53" s="899"/>
      <c r="D53" s="900"/>
      <c r="E53" s="234"/>
      <c r="F53" s="464"/>
      <c r="G53" s="464">
        <f>G51+G52</f>
        <v>1542654.9971933623</v>
      </c>
    </row>
    <row r="54" spans="1:7" ht="16.5" customHeight="1">
      <c r="A54" s="146">
        <v>29</v>
      </c>
      <c r="B54" s="908" t="s">
        <v>842</v>
      </c>
      <c r="C54" s="909"/>
      <c r="D54" s="908"/>
      <c r="E54" s="146"/>
      <c r="F54" s="906"/>
      <c r="G54" s="906">
        <f>ROUND(G53,0)</f>
        <v>1542655</v>
      </c>
    </row>
    <row r="70" spans="2:5" ht="15.75">
      <c r="B70" s="1460" t="s">
        <v>2137</v>
      </c>
      <c r="C70" s="1460"/>
      <c r="D70" s="1460"/>
      <c r="E70" s="1460"/>
    </row>
    <row r="72" spans="1:8" ht="27.75" customHeight="1">
      <c r="A72" s="234">
        <v>2</v>
      </c>
      <c r="B72" s="231" t="s">
        <v>1163</v>
      </c>
      <c r="C72" s="1328">
        <v>7130601072</v>
      </c>
      <c r="D72" s="232" t="s">
        <v>1576</v>
      </c>
      <c r="E72" s="1323"/>
      <c r="F72" s="1324"/>
      <c r="G72" s="1325"/>
      <c r="H72" s="42"/>
    </row>
    <row r="73" spans="1:7" ht="17.25" customHeight="1">
      <c r="A73" s="234">
        <v>11</v>
      </c>
      <c r="B73" s="231" t="s">
        <v>1164</v>
      </c>
      <c r="C73" s="1328">
        <v>7130810201</v>
      </c>
      <c r="D73" s="232" t="s">
        <v>83</v>
      </c>
      <c r="E73" s="1326"/>
      <c r="F73" s="1324"/>
      <c r="G73" s="1325"/>
    </row>
    <row r="74" spans="1:7" ht="17.25" customHeight="1">
      <c r="A74" s="234">
        <v>12</v>
      </c>
      <c r="B74" s="231" t="s">
        <v>1165</v>
      </c>
      <c r="C74" s="1328">
        <v>7130810251</v>
      </c>
      <c r="D74" s="232" t="s">
        <v>83</v>
      </c>
      <c r="E74" s="1326"/>
      <c r="F74" s="1324"/>
      <c r="G74" s="1325"/>
    </row>
    <row r="75" spans="1:7" ht="12.75">
      <c r="A75" s="1461">
        <v>23</v>
      </c>
      <c r="B75" s="236" t="s">
        <v>1264</v>
      </c>
      <c r="C75" s="465"/>
      <c r="D75" s="1329"/>
      <c r="E75" s="1327"/>
      <c r="F75" s="1327"/>
      <c r="G75" s="1327"/>
    </row>
    <row r="76" spans="1:7" ht="12.75">
      <c r="A76" s="1461"/>
      <c r="B76" s="231" t="s">
        <v>1340</v>
      </c>
      <c r="C76" s="1328">
        <v>7130810201</v>
      </c>
      <c r="D76" s="232" t="s">
        <v>83</v>
      </c>
      <c r="E76" s="1326"/>
      <c r="F76" s="1324"/>
      <c r="G76" s="1325"/>
    </row>
    <row r="77" spans="1:7" ht="12.75">
      <c r="A77" s="1461"/>
      <c r="B77" s="231" t="s">
        <v>1339</v>
      </c>
      <c r="C77" s="1328">
        <v>7130810251</v>
      </c>
      <c r="D77" s="232" t="s">
        <v>83</v>
      </c>
      <c r="E77" s="1326"/>
      <c r="F77" s="1324"/>
      <c r="G77" s="1325"/>
    </row>
  </sheetData>
  <sheetProtection/>
  <mergeCells count="14">
    <mergeCell ref="B1:D1"/>
    <mergeCell ref="C6:C7"/>
    <mergeCell ref="B70:E70"/>
    <mergeCell ref="A75:A77"/>
    <mergeCell ref="H23:I23"/>
    <mergeCell ref="A36:A45"/>
    <mergeCell ref="A26:A33"/>
    <mergeCell ref="E6:G6"/>
    <mergeCell ref="B3:G3"/>
    <mergeCell ref="F5:G5"/>
    <mergeCell ref="D6:D7"/>
    <mergeCell ref="A19:A20"/>
    <mergeCell ref="B6:B7"/>
    <mergeCell ref="A6:A7"/>
  </mergeCells>
  <printOptions horizontalCentered="1"/>
  <pageMargins left="0.7" right="0.196850393700787" top="0.62992125984252" bottom="0.33" header="0.511811023622047" footer="0.16"/>
  <pageSetup horizontalDpi="600" verticalDpi="600" orientation="landscape" paperSize="9" scale="135" r:id="rId1"/>
  <ignoredErrors>
    <ignoredError sqref="E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cseb</dc:creator>
  <cp:keywords/>
  <dc:description/>
  <cp:lastModifiedBy>82977784</cp:lastModifiedBy>
  <cp:lastPrinted>2016-06-09T12:28:44Z</cp:lastPrinted>
  <dcterms:created xsi:type="dcterms:W3CDTF">2007-07-20T07:15:19Z</dcterms:created>
  <dcterms:modified xsi:type="dcterms:W3CDTF">2016-06-10T09:38:18Z</dcterms:modified>
  <cp:category/>
  <cp:version/>
  <cp:contentType/>
  <cp:contentStatus/>
</cp:coreProperties>
</file>